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<sst xmlns="http://schemas.openxmlformats.org/spreadsheetml/2006/main" count="3788" uniqueCount="2996">
  <si>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</si>
  <si>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</si>
  <si>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</si>
  <si>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</si>
  <si>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</si>
  <si>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</si>
  <si>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</si>
  <si>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</si>
  <si>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</si>
  <si>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</si>
  <si>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</si>
  <si>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</si>
  <si>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</si>
  <si>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</si>
  <si>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</si>
  <si>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</si>
  <si>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</si>
  <si>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</si>
  <si>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</si>
  <si>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</si>
  <si>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</si>
  <si>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</si>
  <si>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</si>
  <si>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</si>
  <si>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</si>
  <si>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</si>
  <si>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</si>
  <si>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</si>
  <si>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</si>
  <si>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</si>
  <si>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</si>
  <si>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</si>
  <si>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</si>
  <si>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</si>
  <si>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</si>
  <si>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</si>
  <si>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</si>
  <si>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</si>
  <si>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</si>
  <si>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</si>
  <si>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</si>
  <si>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</si>
  <si>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</si>
  <si>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</si>
  <si>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</si>
  <si>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</si>
  <si>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</si>
  <si>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</si>
  <si>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</si>
  <si>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</si>
  <si>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</si>
  <si>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</si>
  <si>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</si>
  <si>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</si>
  <si>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</si>
  <si>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</si>
  <si>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</si>
  <si>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</si>
  <si>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</si>
  <si>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</si>
  <si>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</si>
  <si>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</si>
  <si>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</si>
  <si>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</si>
  <si>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</si>
  <si>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</si>
  <si>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</si>
  <si>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</si>
  <si>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</si>
  <si>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</si>
  <si>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</si>
  <si>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</si>
  <si>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</si>
  <si>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</si>
  <si>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</si>
  <si>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</si>
  <si>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</si>
  <si>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</si>
  <si>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</si>
  <si>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</si>
  <si>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</si>
  <si>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</si>
  <si>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</si>
  <si>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</si>
  <si>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</si>
  <si>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</si>
  <si>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</si>
  <si>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</si>
  <si>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</si>
  <si>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</si>
  <si>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</si>
  <si>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</si>
  <si>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</si>
  <si>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</si>
  <si>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</si>
  <si>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</si>
  <si>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</si>
  <si>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</si>
  <si>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</si>
  <si>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</si>
  <si>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</si>
  <si>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</si>
  <si>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</si>
  <si>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</si>
  <si>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</si>
  <si>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</si>
  <si>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</si>
  <si>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</si>
  <si>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</si>
  <si>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</si>
  <si>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</si>
  <si>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</si>
  <si>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</si>
  <si>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</si>
  <si>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</si>
  <si>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</si>
  <si>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</si>
  <si>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</si>
  <si>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</si>
  <si>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</si>
  <si>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</si>
  <si>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</si>
  <si>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</si>
  <si>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</si>
  <si>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</si>
  <si>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</si>
  <si>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</si>
  <si>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</si>
  <si>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</si>
  <si>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</si>
  <si>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</si>
  <si>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</si>
  <si>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</si>
  <si>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</si>
  <si>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</si>
  <si>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</si>
  <si>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</si>
  <si>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</si>
  <si>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</si>
  <si>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</si>
  <si>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</si>
  <si>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</si>
  <si>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</si>
  <si>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</si>
  <si>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</si>
  <si>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</si>
  <si>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</si>
  <si>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</si>
  <si>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</si>
  <si>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</si>
  <si>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</si>
  <si>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</si>
  <si>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</si>
  <si>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</si>
  <si>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</si>
  <si>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</si>
  <si>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</si>
  <si>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</si>
  <si>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</si>
  <si>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</si>
  <si>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</si>
  <si>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</si>
  <si>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</si>
  <si>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</si>
  <si>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</si>
  <si>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</si>
  <si>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</si>
  <si>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</si>
  <si>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</si>
  <si>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</si>
  <si>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</si>
  <si>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</si>
  <si>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</si>
  <si>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</si>
  <si>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</si>
  <si>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</si>
  <si>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</si>
  <si>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</si>
  <si>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</si>
  <si>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</si>
  <si>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</si>
  <si>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</si>
  <si>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</si>
  <si>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</si>
  <si>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</si>
  <si>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</si>
  <si>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</si>
  <si>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</si>
  <si>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</si>
  <si>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</si>
  <si>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</si>
  <si>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</si>
  <si>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</si>
  <si>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</si>
  <si>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</si>
  <si>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</si>
  <si>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</si>
  <si>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</si>
  <si>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</si>
  <si>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</si>
  <si>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</si>
  <si>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</si>
  <si>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</si>
  <si>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</si>
  <si>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</si>
  <si>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</si>
  <si>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</si>
  <si>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</si>
  <si>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</si>
  <si>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</si>
  <si>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</si>
  <si>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</si>
  <si>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</si>
  <si>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</si>
  <si>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</si>
  <si>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</si>
  <si>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</si>
  <si>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</si>
  <si>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</si>
  <si>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</si>
  <si>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</si>
  <si>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</si>
  <si>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</si>
  <si>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</si>
  <si>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</si>
  <si>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</si>
  <si>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</si>
  <si>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</si>
  <si>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</si>
  <si>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</si>
  <si>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</si>
  <si>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</si>
  <si>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</si>
  <si>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</si>
  <si>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</si>
  <si>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</si>
  <si>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</si>
  <si>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</si>
  <si>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</si>
  <si>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</si>
  <si>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</si>
  <si>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</si>
  <si>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</si>
  <si>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</si>
  <si>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</si>
  <si>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</si>
  <si>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</si>
  <si>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</si>
  <si>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</si>
  <si>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</si>
  <si>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</si>
  <si>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</si>
  <si>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</si>
  <si>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</si>
  <si>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</si>
  <si>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</si>
  <si>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</si>
  <si>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</si>
  <si>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</si>
  <si>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</si>
  <si>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</si>
  <si>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</si>
  <si>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</si>
  <si>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</si>
  <si>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</si>
  <si>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</si>
  <si>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</si>
  <si>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</si>
  <si>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</si>
  <si>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</si>
  <si>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</si>
  <si>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</si>
  <si>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</si>
  <si>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</si>
  <si>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</si>
  <si>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</si>
  <si>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</si>
  <si>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</si>
  <si>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</si>
  <si>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</si>
  <si>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</si>
  <si>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</si>
  <si>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</si>
  <si>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</si>
  <si>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</si>
  <si>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</si>
  <si>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</si>
  <si>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</si>
  <si>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</si>
  <si>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</si>
  <si>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</si>
  <si>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</si>
  <si>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</si>
  <si>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</si>
  <si>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</si>
  <si>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</si>
  <si>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</si>
  <si>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</si>
  <si>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</si>
  <si>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</si>
  <si>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</si>
  <si>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</si>
  <si>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</si>
  <si>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</si>
  <si>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</si>
  <si>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</si>
  <si>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</si>
  <si>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</si>
  <si>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</si>
  <si>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</si>
  <si>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</si>
  <si>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</si>
  <si>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</si>
  <si>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</si>
  <si>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</si>
  <si>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</si>
  <si>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</si>
  <si>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</si>
  <si>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</si>
  <si>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</si>
  <si>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</si>
  <si>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</si>
  <si>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</si>
  <si>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</si>
  <si>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</si>
  <si>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</si>
  <si>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</si>
  <si>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</si>
  <si>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</si>
  <si>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</si>
  <si>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</si>
  <si>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</si>
  <si>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</si>
  <si>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</si>
  <si>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</si>
  <si>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</si>
  <si>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</si>
  <si>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</si>
  <si>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</si>
  <si>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</si>
  <si>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</si>
  <si>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</si>
  <si>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</si>
  <si>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</si>
  <si>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</si>
  <si>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</si>
  <si>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</si>
  <si>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</si>
  <si>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</si>
  <si>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</si>
  <si>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</si>
  <si>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</si>
  <si>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</si>
  <si>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</si>
  <si>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</si>
  <si>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</si>
  <si>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</si>
  <si>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</si>
  <si>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</si>
  <si>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</si>
  <si>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</si>
  <si>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</si>
  <si>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</si>
  <si>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</si>
  <si>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</si>
  <si>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</si>
  <si>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</si>
  <si>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</si>
  <si>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</si>
  <si>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</si>
  <si>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</si>
  <si>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</si>
  <si>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</si>
  <si>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</si>
  <si>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</si>
  <si>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</si>
  <si>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</si>
  <si>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</si>
  <si>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</si>
  <si>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</si>
  <si>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</si>
  <si>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</si>
  <si>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</si>
  <si>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</si>
  <si>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</si>
  <si>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</si>
  <si>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</si>
  <si>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</si>
  <si>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</si>
  <si>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</si>
  <si>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</si>
  <si>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</si>
  <si>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</si>
  <si>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</si>
  <si>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</si>
  <si>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</si>
  <si>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</si>
  <si>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</si>
  <si>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</si>
  <si>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</si>
  <si>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</si>
  <si>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</si>
  <si>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</si>
  <si>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</si>
  <si>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</si>
  <si>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</si>
  <si>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</si>
  <si>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</si>
  <si>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</si>
  <si>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</si>
  <si>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</si>
  <si>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</si>
  <si>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</si>
  <si>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</si>
  <si>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</si>
  <si>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</si>
  <si>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</si>
  <si>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</si>
  <si>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</si>
  <si>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</si>
  <si>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</si>
  <si>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</si>
  <si>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</si>
  <si>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</si>
  <si>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</si>
  <si>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</si>
  <si>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</si>
  <si>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</si>
  <si>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</si>
  <si>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</si>
  <si>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</si>
  <si>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</si>
  <si>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</si>
  <si>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</si>
  <si>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</si>
  <si>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</si>
  <si>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</si>
  <si>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</si>
  <si>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</si>
  <si>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</si>
  <si>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</si>
  <si>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</si>
  <si>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</si>
  <si>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</si>
  <si>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</si>
  <si>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</si>
  <si>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</si>
  <si>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</si>
  <si>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</si>
  <si>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</si>
  <si>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</si>
  <si>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</si>
  <si>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</si>
  <si>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</si>
  <si>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</si>
  <si>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</si>
  <si>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</si>
  <si>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</si>
  <si>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</si>
  <si>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</si>
  <si>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</si>
  <si>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</si>
  <si>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</si>
  <si>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</si>
  <si>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</si>
  <si>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</si>
  <si>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</si>
  <si>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</si>
  <si>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</si>
  <si>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</si>
  <si>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</si>
  <si>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</si>
  <si>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</si>
  <si>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</si>
  <si>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</si>
  <si>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</si>
  <si>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</si>
  <si>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</si>
  <si>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</si>
  <si>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</si>
  <si>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</si>
  <si>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</si>
  <si>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</si>
  <si>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</si>
  <si>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</si>
  <si>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</si>
  <si>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</si>
  <si>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</si>
  <si>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</si>
  <si>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</si>
  <si>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</si>
  <si>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</si>
  <si>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</si>
  <si>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</si>
  <si>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</si>
  <si>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</si>
  <si>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</si>
  <si>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</si>
  <si>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</si>
  <si>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</si>
  <si>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</si>
  <si>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</si>
  <si>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</si>
  <si>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</si>
  <si>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</si>
  <si>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</si>
  <si>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</si>
  <si>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</si>
  <si>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</si>
  <si>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</si>
  <si>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</si>
  <si>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</si>
  <si>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</si>
  <si>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</si>
  <si>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</si>
  <si>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</si>
  <si>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</si>
  <si>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</si>
  <si>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</si>
  <si>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</si>
  <si>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</si>
  <si>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</si>
  <si>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</si>
  <si>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</si>
  <si>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</si>
  <si>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</si>
  <si>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</si>
  <si>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</si>
  <si>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</si>
  <si>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</si>
  <si>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</si>
  <si>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</si>
  <si>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</si>
  <si>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</si>
  <si>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</si>
  <si>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</si>
  <si>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</si>
  <si>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</si>
  <si>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</si>
  <si>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</si>
  <si>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</si>
  <si>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</si>
  <si>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</si>
  <si>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</si>
  <si>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</si>
  <si>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</si>
  <si>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</si>
  <si>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</si>
  <si>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</si>
  <si>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</si>
  <si>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</si>
  <si>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</si>
  <si>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</si>
  <si>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</si>
  <si>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</si>
  <si>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</si>
  <si>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</si>
  <si>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</si>
  <si>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</si>
  <si>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</si>
  <si>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</si>
  <si>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</si>
  <si>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</si>
  <si>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</si>
  <si>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</si>
  <si>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</si>
  <si>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</si>
  <si>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</si>
  <si>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</si>
  <si>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</si>
  <si>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</si>
  <si>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</si>
  <si>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</si>
  <si>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</si>
  <si>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</si>
  <si>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</si>
  <si>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</si>
  <si>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</si>
  <si>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</si>
  <si>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</si>
  <si>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</si>
  <si>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</si>
  <si>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</si>
  <si>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</si>
  <si>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</si>
  <si>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</si>
  <si>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</si>
  <si>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</si>
  <si>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</si>
  <si>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</si>
  <si>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</si>
  <si>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</si>
  <si>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</si>
  <si>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</si>
  <si>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</si>
  <si>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</si>
  <si>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</si>
  <si>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</si>
  <si>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</si>
  <si>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</si>
  <si>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</si>
  <si>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</si>
  <si>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</si>
  <si>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</si>
  <si>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</si>
  <si>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</si>
  <si>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</si>
  <si>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</si>
  <si>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</si>
  <si>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</si>
  <si>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</si>
  <si>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</si>
  <si>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</si>
  <si>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</si>
  <si>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</si>
  <si>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</si>
  <si>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</si>
  <si>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</si>
  <si>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</si>
  <si>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</si>
  <si>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</si>
  <si>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</si>
  <si>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</si>
  <si>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</si>
  <si>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</si>
  <si>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</si>
  <si>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</si>
  <si>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</si>
  <si>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</si>
  <si>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</si>
  <si>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</si>
  <si>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</si>
  <si>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</si>
  <si>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</si>
  <si>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</si>
  <si>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</si>
  <si>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</si>
  <si>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</si>
  <si>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</si>
  <si>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</si>
  <si>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</si>
  <si>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</si>
  <si>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</si>
  <si>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</si>
  <si>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</si>
  <si>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</si>
  <si>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</si>
  <si>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</si>
  <si>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</si>
  <si>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</si>
  <si>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</si>
  <si>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</si>
  <si>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</si>
  <si>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</si>
  <si>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</si>
  <si>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</si>
  <si>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</si>
  <si>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</si>
  <si>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</si>
  <si>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</si>
  <si>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</si>
  <si>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</si>
  <si>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</si>
  <si>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</si>
  <si>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</si>
  <si>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</si>
  <si>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</si>
  <si>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</si>
  <si>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</si>
  <si>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</si>
  <si>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</si>
  <si>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</si>
  <si>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</si>
  <si>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</si>
  <si>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</si>
  <si>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</si>
  <si>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</si>
  <si>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</si>
  <si>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</si>
  <si>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</si>
  <si>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</si>
  <si>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</si>
  <si>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</si>
  <si>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</si>
  <si>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</si>
  <si>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</si>
  <si>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</si>
  <si>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</si>
  <si>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</si>
  <si>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</si>
  <si>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</si>
  <si>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</si>
  <si>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</si>
  <si>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</si>
  <si>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</si>
  <si>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</si>
  <si>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</si>
  <si>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</si>
  <si>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</si>
  <si>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</si>
  <si>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</si>
  <si>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</si>
  <si>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</si>
  <si>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</si>
  <si>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</si>
  <si>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</si>
  <si>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</si>
  <si>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</si>
  <si>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</si>
  <si>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</si>
  <si>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</si>
  <si>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</si>
  <si>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</si>
  <si>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</si>
  <si>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</si>
  <si>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</si>
  <si>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</si>
  <si>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</si>
  <si>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</si>
  <si>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</si>
  <si>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</si>
  <si>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</si>
  <si>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</si>
  <si>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</si>
  <si>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</si>
  <si>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</si>
  <si>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</si>
  <si>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</si>
  <si>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</si>
  <si>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</si>
  <si>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</si>
  <si>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</si>
  <si>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</si>
  <si>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</si>
  <si>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</si>
  <si>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</si>
  <si>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</si>
  <si>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</si>
  <si>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</si>
  <si>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</si>
  <si>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</si>
  <si>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</si>
  <si>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</si>
  <si>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</si>
  <si>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</si>
  <si>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</si>
  <si>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</si>
  <si>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</si>
  <si>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</si>
  <si>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</si>
  <si>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</si>
  <si>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</si>
  <si>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</si>
  <si>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</si>
  <si>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</si>
  <si>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</si>
  <si>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</si>
  <si>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</si>
  <si>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</si>
  <si>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</si>
  <si>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</si>
  <si>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</si>
  <si>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</si>
  <si>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</si>
  <si>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</si>
  <si>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</si>
  <si>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</si>
  <si>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</si>
  <si>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</si>
  <si>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</si>
  <si>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</si>
  <si>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</si>
  <si>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</si>
  <si>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</si>
  <si>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</si>
  <si>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</si>
  <si>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</si>
  <si>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</si>
  <si>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</si>
  <si>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</si>
  <si>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</si>
  <si>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</si>
  <si>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</si>
  <si>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</si>
  <si>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</si>
  <si>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</si>
  <si>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</si>
  <si>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</si>
  <si>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</si>
  <si>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</si>
  <si>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</si>
  <si>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</si>
  <si>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</si>
  <si>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</si>
  <si>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</si>
  <si>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</si>
  <si>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</si>
  <si>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</si>
  <si>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</si>
  <si>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</si>
  <si>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</si>
  <si>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</si>
  <si>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</si>
  <si>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</si>
  <si>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</si>
  <si>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</si>
  <si>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</si>
  <si>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</si>
  <si>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</si>
  <si>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</si>
  <si>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</si>
  <si>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</si>
  <si>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</si>
  <si>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</si>
  <si>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</si>
  <si>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</si>
  <si>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</si>
  <si>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</si>
  <si>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</si>
  <si>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</si>
  <si>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</si>
  <si>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</si>
  <si>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</si>
  <si>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</si>
  <si>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</si>
  <si>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</si>
  <si>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</si>
  <si>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</si>
  <si>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</si>
  <si>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</si>
  <si>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</si>
  <si>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</si>
  <si>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</si>
  <si>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</si>
  <si>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</si>
  <si>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</si>
  <si>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</si>
  <si>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</si>
  <si>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</si>
  <si>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</si>
  <si>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</si>
  <si>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</si>
  <si>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</si>
  <si>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</si>
  <si>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</si>
  <si>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</si>
  <si>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</si>
  <si>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</si>
  <si>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</si>
  <si>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</si>
  <si>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</si>
  <si>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</si>
  <si>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</si>
  <si>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</si>
  <si>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</si>
  <si>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</si>
  <si>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</si>
  <si>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</si>
  <si>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</si>
  <si>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</si>
  <si>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</si>
  <si>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</si>
  <si>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</si>
  <si>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</si>
  <si>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</si>
  <si>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</si>
  <si>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</si>
  <si>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</si>
  <si>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</si>
  <si>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</si>
  <si>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</si>
  <si>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</si>
  <si>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</si>
  <si>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</si>
  <si>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</si>
  <si>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</si>
  <si>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</si>
  <si>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</si>
  <si>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</si>
  <si>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</si>
  <si>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</si>
  <si>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</si>
  <si>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</si>
  <si>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</si>
  <si>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</si>
  <si>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</si>
  <si>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</si>
  <si>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</si>
  <si>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</si>
  <si>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</si>
  <si>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</si>
  <si>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</si>
  <si>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</si>
  <si>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</si>
  <si>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</si>
  <si>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</si>
  <si>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</si>
  <si>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</si>
  <si>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</si>
  <si>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</si>
  <si>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</si>
  <si>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</si>
  <si>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</si>
  <si>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</si>
  <si>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</si>
  <si>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</si>
  <si>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</si>
  <si>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</si>
  <si>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</si>
  <si>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</si>
  <si>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</si>
  <si>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</si>
  <si>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</si>
  <si>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</si>
  <si>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</si>
  <si>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</si>
  <si>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</si>
  <si>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</si>
  <si>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</si>
  <si>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</si>
  <si>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</si>
  <si>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</si>
  <si>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</si>
  <si>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</si>
  <si>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</si>
  <si>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</si>
  <si>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</si>
  <si>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</si>
  <si>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</si>
  <si>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</si>
  <si>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</si>
  <si>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</si>
  <si>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</si>
  <si>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</si>
  <si>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</si>
  <si>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</si>
  <si>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</si>
  <si>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</si>
  <si>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</si>
  <si>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</si>
  <si>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</si>
  <si>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</si>
  <si>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</si>
  <si>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</si>
  <si>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</si>
  <si>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</si>
  <si>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</si>
  <si>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</si>
  <si>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</si>
  <si>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</si>
  <si>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</si>
  <si>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</si>
  <si>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</si>
  <si>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</si>
  <si>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</si>
  <si>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</si>
  <si>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</si>
  <si>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</si>
  <si>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</si>
  <si>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</si>
  <si>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</si>
  <si>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</si>
  <si>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</si>
  <si>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</si>
  <si>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</si>
  <si>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</si>
  <si>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</si>
  <si>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</si>
  <si>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</si>
  <si>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</si>
  <si>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</si>
  <si>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</si>
  <si>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</si>
  <si>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</si>
  <si>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</si>
  <si>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</si>
  <si>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</si>
  <si>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</si>
  <si>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</si>
  <si>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</si>
  <si>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</si>
  <si>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</si>
  <si>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</si>
  <si>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</si>
  <si>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</si>
  <si>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</si>
  <si>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</si>
  <si>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</si>
  <si>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</si>
  <si>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</si>
  <si>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</si>
  <si>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</si>
  <si>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</si>
  <si>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</si>
  <si>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</si>
  <si>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</si>
  <si>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</si>
  <si>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</si>
  <si>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</si>
  <si>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</si>
  <si>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</si>
  <si>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</si>
  <si>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</si>
  <si>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</si>
  <si>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</si>
  <si>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</si>
  <si>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</si>
  <si>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</si>
  <si>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</si>
  <si>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</si>
  <si>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</si>
  <si>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</si>
  <si>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</si>
  <si>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</si>
  <si>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</si>
  <si>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</si>
  <si>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</si>
  <si>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</si>
  <si>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</si>
  <si>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</si>
  <si>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</si>
  <si>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</si>
  <si>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</si>
  <si>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</si>
  <si>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</si>
  <si>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</si>
  <si>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</si>
  <si>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</si>
  <si>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</si>
  <si>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</si>
  <si>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</si>
  <si>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</si>
  <si>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</si>
  <si>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</si>
  <si>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</si>
  <si>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</si>
  <si>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</si>
  <si>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</si>
  <si>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</si>
  <si>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</si>
  <si>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</si>
  <si>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</si>
  <si>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</si>
  <si>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</si>
  <si>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</si>
  <si>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</si>
  <si>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</si>
  <si>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</si>
  <si>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</si>
  <si>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</si>
  <si>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</si>
  <si>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</si>
  <si>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</si>
  <si>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</si>
  <si>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</si>
  <si>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</si>
  <si>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</si>
  <si>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</si>
  <si>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</si>
  <si>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</si>
  <si>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</si>
  <si>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</si>
  <si>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</si>
  <si>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</si>
  <si>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</si>
  <si>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</si>
  <si>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</si>
  <si>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</si>
  <si>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</si>
  <si>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</si>
  <si>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</si>
  <si>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</si>
  <si>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</si>
  <si>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</si>
  <si>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</si>
  <si>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</si>
  <si>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</si>
  <si>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</si>
  <si>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</si>
  <si>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</si>
  <si>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</si>
  <si>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</si>
  <si>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</si>
  <si>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</si>
  <si>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</si>
  <si>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</si>
  <si>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</si>
  <si>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</si>
  <si>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</si>
  <si>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</si>
  <si>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</si>
  <si>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</si>
  <si>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</si>
  <si>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</si>
  <si>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</si>
  <si>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</si>
  <si>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</si>
  <si>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</si>
  <si>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</si>
  <si>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</si>
  <si>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</si>
  <si>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</si>
  <si>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</si>
  <si>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</si>
  <si>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</si>
  <si>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</si>
  <si>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</si>
  <si>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</si>
  <si>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</si>
  <si>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</si>
  <si>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</si>
  <si>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</si>
  <si>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</si>
  <si>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</si>
  <si>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</si>
  <si>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</si>
  <si>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</si>
  <si>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</si>
  <si>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</si>
  <si>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</si>
  <si>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</si>
  <si>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</si>
  <si>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</si>
  <si>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</si>
  <si>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</si>
  <si>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</si>
  <si>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</si>
  <si>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</si>
  <si>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</si>
  <si>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</si>
  <si>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</si>
  <si>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</si>
  <si>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</si>
  <si>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</si>
  <si>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</si>
  <si>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</si>
  <si>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</si>
  <si>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</si>
  <si>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</si>
  <si>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</si>
  <si>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</si>
  <si>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</si>
  <si>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</si>
  <si>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</si>
  <si>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</si>
  <si>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</si>
  <si>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</si>
  <si>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</si>
  <si>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</si>
  <si>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</si>
  <si>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</si>
  <si>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</si>
  <si>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</si>
  <si>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</si>
  <si>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</si>
  <si>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</si>
  <si>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</si>
  <si>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</si>
  <si>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</si>
  <si>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</si>
  <si>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</si>
  <si>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</si>
  <si>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</si>
  <si>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</si>
  <si>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</si>
  <si>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</si>
  <si>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</si>
  <si>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</si>
  <si>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</si>
  <si>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</si>
  <si>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</si>
  <si>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</si>
  <si>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</si>
  <si>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</si>
  <si>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</si>
  <si>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</si>
  <si>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</si>
  <si>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</si>
  <si>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</si>
  <si>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</si>
  <si>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</si>
  <si>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</si>
  <si>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</si>
  <si>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</si>
  <si>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</si>
  <si>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</si>
  <si>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</si>
  <si>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</si>
  <si>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</si>
  <si>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</si>
  <si>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</si>
  <si>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</si>
  <si>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</si>
  <si>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</si>
  <si>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</si>
  <si>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</si>
  <si>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</si>
  <si>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</si>
  <si>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</si>
  <si>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</si>
  <si>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</si>
  <si>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</si>
  <si>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</si>
  <si>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</si>
  <si>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</si>
  <si>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</si>
  <si>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</si>
  <si>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</si>
  <si>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</si>
  <si>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</si>
  <si>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</si>
  <si>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</si>
  <si>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</si>
  <si>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</si>
  <si>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</si>
  <si>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</si>
  <si>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</si>
  <si>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</si>
  <si>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</si>
  <si>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</si>
  <si>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</si>
  <si>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</si>
  <si>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</si>
  <si>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</si>
  <si>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</si>
  <si>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</si>
  <si>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</si>
  <si>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</si>
  <si>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</si>
  <si>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</si>
  <si>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</si>
  <si>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</si>
  <si>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</si>
  <si>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</si>
  <si>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</si>
  <si>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</si>
  <si>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</si>
  <si>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</si>
  <si>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</si>
  <si>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</si>
  <si>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</si>
  <si>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</si>
  <si>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</si>
  <si>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</si>
  <si>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</si>
  <si>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</si>
  <si>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</si>
  <si>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</si>
  <si>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</si>
  <si>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</si>
  <si>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</si>
  <si>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</si>
  <si>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</si>
  <si>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</si>
  <si>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</si>
  <si>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</si>
  <si>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</si>
  <si>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</si>
  <si>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</si>
  <si>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</si>
  <si>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</si>
  <si>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</si>
  <si>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</si>
  <si>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</si>
  <si>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</si>
  <si>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</si>
  <si>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</si>
  <si>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</si>
  <si>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</si>
  <si>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</si>
  <si>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</si>
  <si>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</si>
  <si>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</si>
  <si>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</si>
  <si>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</si>
  <si>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</si>
  <si>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</si>
  <si>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</si>
  <si>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</si>
  <si>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</si>
  <si>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</si>
  <si>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</si>
  <si>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</si>
  <si>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</si>
  <si>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</si>
  <si>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</si>
  <si>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</si>
  <si>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</si>
  <si>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</si>
  <si>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</si>
  <si>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</si>
  <si>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</si>
  <si>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</si>
  <si>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</si>
  <si>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</si>
  <si>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</si>
  <si>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</si>
  <si>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</si>
  <si>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</si>
  <si>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</si>
  <si>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</si>
  <si>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</si>
  <si>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</si>
  <si>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</si>
  <si>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</si>
  <si>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</si>
  <si>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</si>
  <si>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</si>
  <si>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</si>
  <si>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</si>
  <si>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</si>
  <si>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</si>
  <si>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</si>
  <si>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</si>
  <si>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</si>
  <si>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</si>
  <si>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</si>
  <si>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</si>
  <si>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</si>
  <si>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</si>
  <si>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</si>
  <si>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</si>
  <si>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</si>
  <si>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</si>
  <si>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</si>
  <si>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</si>
  <si>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</si>
  <si>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</si>
  <si>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</si>
  <si>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</si>
  <si>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</si>
  <si>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</si>
  <si>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</si>
  <si>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</si>
  <si>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</si>
  <si>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</si>
  <si>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</si>
  <si>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</si>
  <si>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</si>
  <si>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</si>
  <si>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</si>
  <si>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</si>
  <si>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</si>
  <si>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</si>
  <si>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</si>
  <si>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</si>
  <si>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</si>
  <si>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</si>
  <si>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</si>
  <si>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</si>
  <si>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</si>
  <si>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</si>
  <si>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</si>
  <si>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</si>
  <si>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</si>
  <si>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</si>
  <si>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</si>
  <si>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</si>
  <si>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</si>
  <si>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</si>
  <si>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</si>
  <si>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</si>
  <si>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</si>
  <si>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</si>
  <si>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</si>
  <si>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</si>
  <si>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</si>
  <si>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</si>
  <si>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</si>
  <si>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</si>
  <si>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</si>
  <si>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</si>
  <si>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</si>
  <si>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</si>
  <si>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</si>
  <si>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</si>
  <si>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</si>
  <si>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</si>
  <si>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</si>
  <si>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</si>
  <si>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</si>
  <si>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</si>
  <si>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</si>
  <si>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</si>
  <si>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</si>
  <si>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</si>
  <si>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</si>
  <si>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</si>
  <si>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</si>
  <si>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</si>
  <si>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</si>
  <si>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</si>
  <si>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</si>
  <si>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</si>
  <si>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</si>
  <si>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</si>
  <si>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</si>
  <si>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</si>
  <si>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</si>
  <si>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</si>
  <si>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</si>
  <si>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</si>
  <si>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</si>
  <si>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</si>
  <si>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</si>
  <si>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</si>
  <si>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</si>
  <si>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</si>
  <si>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</si>
  <si>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</si>
  <si>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</si>
  <si>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</si>
  <si>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</si>
  <si>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</si>
  <si>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</si>
  <si>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</si>
  <si>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</si>
  <si>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</si>
  <si>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</si>
  <si>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</si>
  <si>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</si>
  <si>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</si>
  <si>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</si>
  <si>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</si>
  <si>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</si>
  <si>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</si>
  <si>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</si>
  <si>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</si>
  <si>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</si>
  <si>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</si>
  <si>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</si>
  <si>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</si>
  <si>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</si>
  <si>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</si>
  <si>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</si>
  <si>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</si>
  <si>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</si>
  <si>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</si>
  <si>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</si>
  <si>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</si>
  <si>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</si>
  <si>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</si>
  <si>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</si>
  <si>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</si>
  <si>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</si>
  <si>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</si>
  <si>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</si>
  <si>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</si>
  <si>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</si>
  <si>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</si>
  <si>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</si>
  <si>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</si>
  <si>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</si>
  <si>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</si>
  <si>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</si>
  <si>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</si>
  <si>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</si>
  <si>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</si>
  <si>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</si>
  <si>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</si>
  <si>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</si>
  <si>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</si>
  <si>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</si>
  <si>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</si>
  <si>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</si>
  <si>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</si>
  <si>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</si>
  <si>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</si>
  <si>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</si>
  <si>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</si>
  <si>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</si>
  <si>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</si>
  <si>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</si>
  <si>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</si>
  <si>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</si>
  <si>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</si>
  <si>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</si>
  <si>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</si>
  <si>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</si>
  <si>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</si>
  <si>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</si>
  <si>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</si>
  <si>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</si>
  <si>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</si>
  <si>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</si>
  <si>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</si>
  <si>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</si>
  <si>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</si>
  <si>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</si>
  <si>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</si>
  <si>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</si>
  <si>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</si>
  <si>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</si>
  <si>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</si>
  <si>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</si>
  <si>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</si>
  <si>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</si>
  <si>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</si>
  <si>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</si>
  <si>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</si>
  <si>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</si>
  <si>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</si>
  <si>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</si>
  <si>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</si>
  <si>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</si>
  <si>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</si>
  <si>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</si>
  <si>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</si>
  <si>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</si>
  <si>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</si>
  <si>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</si>
  <si>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</si>
  <si>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</si>
  <si>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</si>
  <si>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</si>
  <si>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</si>
  <si>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</si>
  <si>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</si>
  <si>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</si>
  <si>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</si>
  <si>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</si>
  <si>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</si>
  <si>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</si>
  <si>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</si>
  <si>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</si>
  <si>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</si>
  <si>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</si>
  <si>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</si>
  <si>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</si>
  <si>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</si>
  <si>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</si>
  <si>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</si>
  <si>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</si>
  <si>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</si>
  <si>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</si>
  <si>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</si>
  <si>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</si>
  <si>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</si>
  <si>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</si>
  <si>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</si>
  <si>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</si>
  <si>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</si>
  <si>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</si>
  <si>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</si>
  <si>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</si>
  <si>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</si>
  <si>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</si>
  <si>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</si>
  <si>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</si>
  <si>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</si>
  <si>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</si>
  <si>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</si>
  <si>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</si>
  <si>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</si>
  <si>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</si>
  <si>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</si>
  <si>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</si>
  <si>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</si>
  <si>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</si>
  <si>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</si>
  <si>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</si>
  <si>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</si>
  <si>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</si>
  <si>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</si>
  <si>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</si>
  <si>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</si>
  <si>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</si>
  <si>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</si>
  <si>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</si>
  <si>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</si>
  <si>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</si>
  <si>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</si>
  <si>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</si>
  <si>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</si>
  <si>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</si>
  <si>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</si>
  <si>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</si>
  <si>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</si>
  <si>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</si>
  <si>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</si>
  <si>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</si>
  <si>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</si>
  <si>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</si>
  <si>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</si>
  <si>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</si>
  <si>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</si>
  <si>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</si>
  <si>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</si>
  <si>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</si>
  <si>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</si>
  <si>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</si>
  <si>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</si>
  <si>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</si>
  <si>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</si>
  <si>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</si>
  <si>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</si>
  <si>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</si>
  <si>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</si>
  <si>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</si>
  <si>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</si>
  <si>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</si>
  <si>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</si>
  <si>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</si>
  <si>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</si>
  <si>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</si>
  <si>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</si>
  <si>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</si>
  <si>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</si>
  <si>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</si>
  <si>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</si>
  <si>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</si>
  <si>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</si>
  <si>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</si>
  <si>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</si>
  <si>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</si>
  <si>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</si>
  <si>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</si>
  <si>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</si>
  <si>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</si>
  <si>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</si>
  <si>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</si>
  <si>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</si>
  <si>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</si>
  <si>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</si>
  <si>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</si>
  <si>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</si>
  <si>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</si>
  <si>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</si>
  <si>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</si>
  <si>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</si>
  <si>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</si>
  <si>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</si>
  <si>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</si>
  <si>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</si>
  <si>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</si>
  <si>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</si>
  <si>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</si>
  <si>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</si>
  <si>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</si>
  <si>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</si>
  <si>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</si>
  <si>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</si>
  <si>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</si>
  <si>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</si>
  <si>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</si>
  <si>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</si>
  <si>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</si>
  <si>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</si>
  <si>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</si>
  <si>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</si>
  <si>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</si>
  <si>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</si>
  <si>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</si>
  <si>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</si>
  <si>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</si>
  <si>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</si>
  <si>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</si>
  <si>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</si>
  <si>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</si>
  <si>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</si>
  <si>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</si>
  <si>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</si>
  <si>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</si>
  <si>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</si>
  <si>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</si>
  <si>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</si>
  <si>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</si>
  <si>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</si>
  <si>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</si>
  <si>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</si>
  <si>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</si>
  <si>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</si>
  <si>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</si>
  <si>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</si>
  <si>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</si>
  <si>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</si>
  <si>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</si>
  <si>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</si>
  <si>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</si>
  <si>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</si>
  <si>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</si>
  <si>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</si>
  <si>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</si>
  <si>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</si>
  <si>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</si>
  <si>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</si>
  <si>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</si>
  <si>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</si>
  <si>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</si>
  <si>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</si>
  <si>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</si>
  <si>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</si>
  <si>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</si>
  <si>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</si>
  <si>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</si>
  <si>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</si>
  <si>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</si>
  <si>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</si>
  <si>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</si>
  <si>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</si>
  <si>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</si>
  <si>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</si>
  <si>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</si>
  <si>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</si>
  <si>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</si>
  <si>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</si>
  <si>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</si>
  <si>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</si>
  <si>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</si>
  <si>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</si>
  <si>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</si>
  <si>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</si>
  <si>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</si>
  <si>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</si>
  <si>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</si>
  <si>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</si>
  <si>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</si>
  <si>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</si>
  <si>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</si>
  <si>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</si>
  <si>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</si>
  <si>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</si>
  <si>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</si>
  <si>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</si>
  <si>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</si>
  <si>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</si>
  <si>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</si>
  <si>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</si>
  <si>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</si>
  <si>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</si>
  <si>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</si>
  <si>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</si>
  <si>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</si>
  <si>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</si>
  <si>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</si>
  <si>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</si>
  <si>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</si>
  <si>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</si>
  <si>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</si>
  <si>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</si>
  <si>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</si>
  <si>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</si>
  <si>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</si>
  <si>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</si>
  <si>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</si>
  <si>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</si>
  <si>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</si>
  <si>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</si>
  <si>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</si>
  <si>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</si>
  <si>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</si>
  <si>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</si>
  <si>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</si>
  <si>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</si>
  <si>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</si>
  <si>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</si>
  <si>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</si>
  <si>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</si>
  <si>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</si>
  <si>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</si>
  <si>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</si>
  <si>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</si>
  <si>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</si>
  <si>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</si>
  <si>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</si>
  <si>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</si>
  <si>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</si>
  <si>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</si>
  <si>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</si>
  <si>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</si>
  <si>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</si>
  <si>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</si>
  <si>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</si>
  <si>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</si>
  <si>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</si>
  <si>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</si>
  <si>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</si>
  <si>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</si>
  <si>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</si>
  <si>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</si>
  <si>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</si>
  <si>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</si>
  <si>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</si>
  <si>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</si>
  <si>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</si>
  <si>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</si>
  <si>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</si>
  <si>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</si>
  <si>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</si>
  <si>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</si>
  <si>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</si>
  <si>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</si>
  <si>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</si>
  <si>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</si>
  <si>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</si>
  <si>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</si>
  <si>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</si>
  <si>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</si>
  <si>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</si>
  <si>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</si>
  <si>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</si>
  <si>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</si>
  <si>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</si>
  <si>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</si>
  <si>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</si>
  <si>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</si>
  <si>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</si>
  <si>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</si>
  <si>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</si>
  <si>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</si>
  <si>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</si>
  <si>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</si>
  <si>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</si>
  <si>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</si>
  <si>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</si>
  <si>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</si>
  <si>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</si>
  <si>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</si>
  <si>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</si>
  <si>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</si>
  <si>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</si>
  <si>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</si>
  <si>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</si>
  <si>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</si>
  <si>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</si>
  <si>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</si>
  <si>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</si>
  <si>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</si>
  <si>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</si>
  <si>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</si>
  <si>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</si>
  <si>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</si>
  <si>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</si>
  <si>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</si>
  <si>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</si>
  <si>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</si>
  <si>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</si>
  <si>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</si>
  <si>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</si>
  <si>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</si>
  <si>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</si>
  <si>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</si>
  <si>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</si>
  <si>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</si>
  <si>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</si>
  <si>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</si>
  <si>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</si>
  <si>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</si>
  <si>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</si>
  <si>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</si>
  <si>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</si>
  <si>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</si>
  <si>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</si>
  <si>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</si>
  <si>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</si>
  <si>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</si>
  <si>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</si>
  <si>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</si>
  <si>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</si>
  <si>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</si>
  <si>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</si>
  <si>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</si>
  <si>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</si>
  <si>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</si>
  <si>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</si>
  <si>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</si>
  <si>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</si>
  <si>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</si>
  <si>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</si>
  <si>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</si>
  <si>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</si>
  <si>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</si>
  <si>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</si>
  <si>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</si>
  <si>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</si>
  <si>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</si>
  <si>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</si>
  <si>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</si>
  <si>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</si>
  <si>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</si>
  <si>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</si>
  <si>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</si>
  <si>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</si>
  <si>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</si>
  <si>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</si>
  <si>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</si>
  <si>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</si>
  <si>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</si>
  <si>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</si>
  <si>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</si>
  <si>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</si>
  <si>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</si>
  <si>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</si>
  <si>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</si>
  <si>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</si>
  <si>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</si>
  <si>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</si>
  <si>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</si>
  <si>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</si>
  <si>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</si>
  <si>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</si>
  <si>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</si>
  <si>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</si>
  <si>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</si>
  <si>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</si>
  <si>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</si>
  <si>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</si>
  <si>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</si>
  <si>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</si>
  <si>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</si>
  <si>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</si>
  <si>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</si>
  <si>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</si>
  <si>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</si>
  <si>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</si>
  <si>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</si>
  <si>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</si>
  <si>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</si>
  <si>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</si>
  <si>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</si>
  <si>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</si>
  <si>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</si>
  <si>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</si>
  <si>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</si>
  <si>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</si>
  <si>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</si>
  <si>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</si>
  <si>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</si>
  <si>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</si>
  <si>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</si>
  <si>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</si>
  <si>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</si>
  <si>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</si>
  <si>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</si>
  <si>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</si>
  <si>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</si>
  <si>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</si>
  <si>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</si>
  <si>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</si>
  <si>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</si>
  <si>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</si>
  <si>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</si>
  <si>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</si>
  <si>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</si>
  <si>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</si>
  <si>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</si>
  <si>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</si>
  <si>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</si>
  <si>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</si>
  <si>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</si>
  <si>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</si>
  <si>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</si>
  <si>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</si>
  <si>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</si>
  <si>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</si>
  <si>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</si>
  <si>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</si>
  <si>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</si>
  <si>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</si>
  <si>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</si>
  <si>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</si>
  <si>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</si>
  <si>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</si>
  <si>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</si>
  <si>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</si>
  <si>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</si>
  <si>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</si>
  <si>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</si>
  <si>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</si>
  <si>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</si>
  <si>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</si>
  <si>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</si>
  <si>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</si>
  <si>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</si>
  <si>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</si>
  <si>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</si>
  <si>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</si>
  <si>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</si>
  <si>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</si>
  <si>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</si>
  <si>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</si>
  <si>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</si>
  <si>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</si>
  <si>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</si>
  <si>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</si>
  <si>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</si>
  <si>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</si>
  <si>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</si>
  <si>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</si>
  <si>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</si>
  <si>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</si>
  <si>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</si>
  <si>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</si>
  <si>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</si>
  <si>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</si>
  <si>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</si>
  <si>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</si>
  <si>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</si>
  <si>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</si>
  <si>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</si>
  <si>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</si>
  <si>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</si>
  <si>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</si>
  <si>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</si>
  <si>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</si>
  <si>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</si>
  <si>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</si>
  <si>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</si>
  <si>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</si>
  <si>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</si>
  <si>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</si>
  <si>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</si>
  <si>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</si>
  <si>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</si>
  <si>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</si>
  <si>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</si>
  <si>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</si>
  <si>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</si>
  <si>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</si>
  <si>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</si>
  <si>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</si>
  <si>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</si>
  <si>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</si>
  <si>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</si>
  <si>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</si>
  <si>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</si>
  <si>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</si>
  <si>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</si>
  <si>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</si>
  <si>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</si>
  <si>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</si>
  <si>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</si>
  <si>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</si>
  <si>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</si>
  <si>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</si>
  <si>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</si>
  <si>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</si>
  <si>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</si>
  <si>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</si>
  <si>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</si>
  <si>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</si>
  <si>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</si>
  <si>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</si>
  <si>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</si>
  <si>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</si>
  <si>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</si>
  <si>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</si>
  <si>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</si>
  <si>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</si>
  <si>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</si>
  <si>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</si>
  <si>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</si>
  <si>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</si>
  <si>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</si>
  <si>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</si>
  <si>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</si>
  <si>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</si>
  <si>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</si>
  <si>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</si>
  <si>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</si>
  <si>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</si>
  <si>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</si>
  <si>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</si>
  <si>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</si>
  <si>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</si>
  <si>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</si>
  <si>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</si>
  <si>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</si>
  <si>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</si>
  <si>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</si>
  <si>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</si>
  <si>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</si>
  <si>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</si>
  <si>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</si>
  <si>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</si>
  <si>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</si>
  <si>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</si>
  <si>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</si>
  <si>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</si>
  <si>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</si>
  <si>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</si>
  <si>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</si>
  <si>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</si>
  <si>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</si>
  <si>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</si>
  <si>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</si>
  <si>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</si>
  <si>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</si>
  <si>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</si>
  <si>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</si>
  <si>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</si>
  <si>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</si>
  <si>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</si>
  <si>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</si>
  <si>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</si>
  <si>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</si>
  <si>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</si>
  <si>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</si>
  <si>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</si>
  <si>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</si>
  <si>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</si>
  <si>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</si>
  <si>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</si>
  <si>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</si>
  <si>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</si>
  <si>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</si>
  <si>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</si>
  <si>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</si>
  <si>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</si>
  <si>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</si>
  <si>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</si>
  <si>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</si>
  <si>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</si>
  <si>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</si>
  <si>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</si>
  <si>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</si>
  <si>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</si>
  <si>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</si>
  <si>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</si>
  <si>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</si>
  <si>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</si>
  <si>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</si>
  <si>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</si>
  <si>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</si>
  <si>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</si>
  <si>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</si>
  <si>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</si>
  <si>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</si>
  <si>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</si>
  <si>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</si>
  <si>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</si>
  <si>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</si>
  <si>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</si>
  <si>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</si>
  <si>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</si>
  <si>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</si>
  <si>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</si>
  <si>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</si>
  <si>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</si>
  <si>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</si>
  <si>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</si>
  <si>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</si>
  <si>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</si>
  <si>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</si>
  <si>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</si>
  <si>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</si>
  <si>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</si>
  <si>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</si>
  <si>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</si>
  <si>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</si>
  <si>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</si>
  <si>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</si>
  <si>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</si>
  <si>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</si>
  <si>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</si>
  <si>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</si>
  <si>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</si>
  <si>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</si>
  <si>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</si>
  <si>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</si>
  <si>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</si>
  <si>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</si>
  <si>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</si>
  <si>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</si>
  <si>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</si>
  <si>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</si>
  <si>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</si>
  <si>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</si>
  <si>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</si>
  <si>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</si>
  <si>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</si>
  <si>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</si>
  <si>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</si>
  <si>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</si>
  <si>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</si>
  <si>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</si>
  <si>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</si>
  <si>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</si>
  <si>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</si>
  <si>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</si>
  <si>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</si>
  <si>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</si>
  <si>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</si>
  <si>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</si>
  <si>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</si>
  <si>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</si>
  <si>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</si>
  <si>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</si>
  <si>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</si>
  <si>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</si>
  <si>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</si>
  <si>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</si>
  <si>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</si>
  <si>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</si>
  <si>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</si>
  <si>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</si>
  <si>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</si>
  <si>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</si>
  <si>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</si>
  <si>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</si>
  <si>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</si>
  <si>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</si>
  <si>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</si>
  <si>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</si>
  <si>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</si>
  <si>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</si>
  <si>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</si>
  <si>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</si>
  <si>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</si>
  <si>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</si>
  <si>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</si>
  <si>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</si>
  <si>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</si>
  <si>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</si>
  <si>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</si>
  <si>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</si>
  <si>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</si>
  <si>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</si>
  <si>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</si>
  <si>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</si>
  <si>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</si>
  <si>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</si>
  <si>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</si>
  <si>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</si>
  <si>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</si>
  <si>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</si>
  <si>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</si>
  <si>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</si>
  <si>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</si>
  <si>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</si>
  <si>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</si>
  <si>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</si>
  <si>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</si>
  <si>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</si>
  <si>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</si>
  <si>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</si>
  <si>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</si>
  <si>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</si>
  <si>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</si>
  <si>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</si>
  <si>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</si>
  <si>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</si>
  <si>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</si>
  <si>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</si>
  <si>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</si>
  <si>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</si>
  <si>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</si>
  <si>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</si>
  <si>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</si>
  <si>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</si>
  <si>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</si>
  <si>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</si>
  <si>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</si>
  <si>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</si>
  <si>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</si>
  <si>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</si>
  <si>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</si>
  <si>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</si>
  <si>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</si>
  <si>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</si>
  <si>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</si>
  <si>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</si>
  <si>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</si>
  <si>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</si>
  <si>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</si>
  <si>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</si>
  <si>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</si>
  <si>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</si>
  <si>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</si>
  <si>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</si>
  <si>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</si>
  <si>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</si>
  <si>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</si>
  <si>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</si>
  <si>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</si>
  <si>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</si>
  <si>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</si>
  <si>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</si>
  <si>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</si>
  <si>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</si>
  <si>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</si>
  <si>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</si>
  <si>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</si>
  <si>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</si>
  <si>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</si>
  <si>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</si>
  <si>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</si>
  <si>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</si>
  <si>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</si>
  <si>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</si>
  <si>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</si>
  <si>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</si>
  <si>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</si>
  <si>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</si>
  <si>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</si>
  <si>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</si>
  <si>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</si>
  <si>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</si>
  <si>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</si>
  <si>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</si>
  <si>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</si>
  <si>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</si>
  <si>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</si>
  <si>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</si>
  <si>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</si>
  <si>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</si>
  <si>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</si>
  <si>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</si>
  <si>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</si>
  <si>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</si>
  <si>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</si>
  <si>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</si>
  <si>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</si>
  <si>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</si>
  <si>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</si>
  <si>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</si>
  <si>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</si>
  <si>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</si>
  <si>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</si>
  <si>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</si>
  <si>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</si>
  <si>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</si>
  <si>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</si>
  <si>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</si>
  <si>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</si>
  <si>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</si>
  <si>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</si>
  <si>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</si>
  <si>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</si>
  <si>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</si>
  <si>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</si>
  <si>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</si>
  <si>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</si>
  <si>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</si>
  <si>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</si>
  <si>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</si>
  <si>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</si>
  <si>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</si>
  <si>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</si>
  <si>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</si>
  <si>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</si>
  <si>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</si>
  <si>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</si>
  <si>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</si>
  <si>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</si>
  <si>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</si>
  <si>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</si>
  <si>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</si>
  <si>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</si>
  <si>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</si>
  <si>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</si>
  <si>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</si>
  <si>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</si>
  <si>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</si>
  <si>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</si>
  <si>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</si>
  <si>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</si>
  <si>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</si>
  <si>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</si>
  <si>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</si>
  <si>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</si>
  <si>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</si>
  <si>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</si>
  <si>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</si>
  <si>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</si>
  <si>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</si>
  <si>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</si>
  <si>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</si>
  <si>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</si>
  <si>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</si>
  <si>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</si>
  <si>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</si>
  <si>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</si>
  <si>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</si>
  <si>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</si>
  <si>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</si>
  <si>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</si>
  <si>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</si>
  <si>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</si>
  <si>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</si>
  <si>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</si>
  <si>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</si>
  <si>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</si>
  <si>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</si>
  <si>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</si>
  <si>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</si>
  <si>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</si>
  <si>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</si>
  <si>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</si>
  <si>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</si>
  <si>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</si>
  <si>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</si>
  <si>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</si>
  <si>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</si>
  <si>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</si>
  <si>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</si>
  <si>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</si>
  <si>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</si>
  <si>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</si>
  <si>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</si>
  <si>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</si>
  <si>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</si>
  <si>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</si>
  <si>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</si>
  <si>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</si>
  <si>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</si>
  <si>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</si>
  <si>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</si>
  <si>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</si>
  <si>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</si>
  <si>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</si>
  <si>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</si>
  <si>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</si>
  <si>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</si>
  <si>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</si>
  <si>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</si>
  <si>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</si>
  <si>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</si>
  <si>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</si>
  <si>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</si>
  <si>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</si>
  <si>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</si>
  <si>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</si>
  <si>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</si>
  <si>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</si>
  <si>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</si>
  <si>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</si>
  <si>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</si>
  <si>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</si>
  <si>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</si>
  <si>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</si>
  <si>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</si>
  <si>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</si>
  <si>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</si>
  <si>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</si>
  <si>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</si>
  <si>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</si>
  <si>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</si>
  <si>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</si>
  <si>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</si>
  <si>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</si>
  <si>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</si>
  <si>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</si>
  <si>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</si>
  <si>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</si>
  <si>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</si>
  <si>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</si>
  <si>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</si>
  <si>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</si>
  <si>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</si>
  <si>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</si>
  <si>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</si>
  <si>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</si>
  <si>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</si>
  <si>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</si>
  <si>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</si>
  <si>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</si>
  <si>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</si>
  <si>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</si>
  <si>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</si>
  <si>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</si>
  <si>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</si>
  <si>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</si>
  <si>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</si>
  <si>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</si>
  <si>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</si>
  <si>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</si>
  <si>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</si>
  <si>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</si>
  <si>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</si>
  <si>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</si>
  <si>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</si>
  <si>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</si>
  <si>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</si>
  <si>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</si>
  <si>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</si>
  <si>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</si>
  <si>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</si>
  <si>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</si>
  <si>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</si>
  <si>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</si>
  <si>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</si>
  <si>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</si>
  <si>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</si>
  <si>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</si>
  <si>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</si>
  <si>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</si>
  <si>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</si>
  <si>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</si>
  <si>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</si>
  <si>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</si>
  <si>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</si>
  <si>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</si>
  <si>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</si>
  <si>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</si>
  <si>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</si>
  <si>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</si>
  <si>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</si>
  <si>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</si>
  <si>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</si>
  <si>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</si>
  <si>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</si>
  <si>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</si>
  <si>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</si>
  <si>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</si>
  <si>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</si>
  <si>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</si>
  <si>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</si>
  <si>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</si>
  <si>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</si>
  <si>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</si>
  <si>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</si>
  <si>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</si>
  <si>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</si>
  <si>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</si>
  <si>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</si>
  <si>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</si>
  <si>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</si>
  <si>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</si>
  <si>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</si>
  <si>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</si>
  <si>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</si>
  <si>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</si>
  <si>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</si>
  <si>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</si>
  <si>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</si>
  <si>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</si>
  <si>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</si>
  <si>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</si>
  <si>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</si>
  <si>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</si>
  <si>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</si>
  <si>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</si>
  <si>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</si>
  <si>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</si>
  <si>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</si>
  <si>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</si>
  <si>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</si>
  <si>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</si>
  <si>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</si>
  <si>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</si>
  <si>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</si>
  <si>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</si>
  <si>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</si>
  <si>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</si>
  <si>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</si>
  <si>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</si>
  <si>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</si>
  <si>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</si>
  <si>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</si>
  <si>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</si>
  <si>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</si>
  <si>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</si>
  <si>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</si>
  <si>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</si>
  <si>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</si>
  <si>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</si>
  <si>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</si>
  <si>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</si>
  <si>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</si>
  <si>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</si>
  <si>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</si>
  <si>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</si>
  <si>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</si>
  <si>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</si>
  <si>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</si>
  <si>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</si>
  <si>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</si>
  <si>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</si>
  <si>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</si>
  <si>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</si>
  <si>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</si>
  <si>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</si>
  <si>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</si>
  <si>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</si>
  <si>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</si>
  <si>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</si>
  <si>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</si>
  <si>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</si>
  <si>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</si>
  <si>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</si>
  <si>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</si>
  <si>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</si>
  <si>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</si>
  <si>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</si>
  <si>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</si>
  <si>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</si>
  <si>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</si>
  <si>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</si>
  <si>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</si>
  <si>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</si>
  <si>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</si>
  <si>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</si>
  <si>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</si>
  <si>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</si>
  <si>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</si>
  <si>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</si>
  <si>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</si>
  <si>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</si>
  <si>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</si>
  <si>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</si>
  <si>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</si>
  <si>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</si>
  <si>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</si>
  <si>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</si>
  <si>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</si>
  <si>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</si>
  <si>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</si>
  <si>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</si>
  <si>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</si>
  <si>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</si>
  <si>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</si>
  <si>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</si>
  <si>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</si>
  <si>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</si>
  <si>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</si>
  <si>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</si>
  <si>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</si>
  <si>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</si>
  <si>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</si>
  <si>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</si>
  <si>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</si>
  <si>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</si>
  <si>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</si>
  <si>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</si>
  <si>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</si>
  <si>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</si>
  <si>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</si>
  <si>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</si>
  <si>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</si>
  <si>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</si>
  <si>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</si>
  <si>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</si>
  <si>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</si>
  <si>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</si>
  <si>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</si>
  <si>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</si>
  <si>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</si>
  <si>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</si>
  <si>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</si>
  <si>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</si>
  <si>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</si>
  <si>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</si>
  <si>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</si>
  <si>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</si>
  <si>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</si>
  <si>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</si>
  <si>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</si>
  <si>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</si>
  <si>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</si>
  <si>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</si>
  <si>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</si>
  <si>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</si>
  <si>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</si>
  <si>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</si>
  <si>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</si>
  <si>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</si>
  <si>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</si>
  <si>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</si>
  <si>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</si>
  <si>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</si>
  <si>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</si>
  <si>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</si>
  <si>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</si>
  <si>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</si>
  <si>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</si>
  <si>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</si>
  <si>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</si>
  <si>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</si>
  <si>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</si>
  <si>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</si>
  <si>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</si>
  <si>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</si>
  <si>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</si>
  <si>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</si>
  <si>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</si>
  <si>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</si>
  <si>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</si>
  <si>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</si>
  <si>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</si>
  <si>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</si>
  <si>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</si>
  <si>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</si>
  <si>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</si>
  <si>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</si>
  <si>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</si>
  <si>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</si>
  <si>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</si>
  <si>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</si>
  <si>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</si>
  <si>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</si>
  <si>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</si>
  <si>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</si>
  <si>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</si>
  <si>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</si>
  <si>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</si>
  <si>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</si>
  <si>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</si>
  <si>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</si>
  <si>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</si>
  <si>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</si>
  <si>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</si>
  <si>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</si>
  <si>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</si>
  <si>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</si>
  <si>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</si>
  <si>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</si>
  <si>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</si>
  <si>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</si>
  <si>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</si>
  <si>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</si>
  <si>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</si>
  <si>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</si>
  <si>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</si>
  <si>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</si>
  <si>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</si>
  <si>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</si>
  <si>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</si>
  <si>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</si>
  <si>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</si>
  <si>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</si>
  <si>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</si>
  <si>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</si>
  <si>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</si>
  <si>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</si>
  <si>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</si>
  <si>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</si>
  <si>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</si>
  <si>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</si>
  <si>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</si>
  <si>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</si>
  <si>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</si>
  <si>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</si>
  <si>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</si>
  <si>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</si>
  <si>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</si>
  <si>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</si>
  <si>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</si>
  <si>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</si>
  <si>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</si>
  <si>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</si>
  <si>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</si>
  <si>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</si>
  <si>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</si>
  <si>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</si>
  <si>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</si>
  <si>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</si>
  <si>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</si>
  <si>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</si>
  <si>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</si>
  <si>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</si>
  <si>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</si>
  <si>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</si>
  <si>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</si>
  <si>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</si>
  <si>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</si>
  <si>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</si>
  <si>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</si>
  <si>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</si>
  <si>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</si>
  <si>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</si>
  <si>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</si>
  <si>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</si>
  <si>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</si>
  <si>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</si>
  <si>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</si>
  <si>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</si>
  <si>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</si>
  <si>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</si>
  <si>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</si>
  <si>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</si>
  <si>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</si>
  <si>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</si>
  <si>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</si>
  <si>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</si>
  <si>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</si>
  <si>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</si>
  <si>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</si>
  <si>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</si>
  <si>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</si>
  <si>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</si>
  <si>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</si>
  <si>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</si>
  <si>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</si>
  <si>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</si>
  <si>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</si>
  <si>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</si>
  <si>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</si>
  <si>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</si>
  <si>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</si>
  <si>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</si>
  <si>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</si>
  <si>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</si>
  <si>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</si>
  <si>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</si>
  <si>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</si>
  <si>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</si>
  <si>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</si>
  <si>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</si>
  <si>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</si>
  <si>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</si>
  <si>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</si>
  <si>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</si>
  <si>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</si>
  <si>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</si>
  <si>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</si>
  <si>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</si>
  <si>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</si>
  <si>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</si>
  <si>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</si>
  <si>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</si>
  <si>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</si>
  <si>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</si>
  <si>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</si>
  <si>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</si>
  <si>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</si>
  <si>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</si>
  <si>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</si>
  <si>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</si>
  <si>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</si>
  <si>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</si>
  <si>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</si>
  <si>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</si>
  <si>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</si>
  <si>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</si>
  <si>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</si>
  <si>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</si>
  <si>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</si>
  <si>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</si>
  <si>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</si>
  <si>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</si>
  <si>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</si>
  <si>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</si>
  <si>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</si>
  <si>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</si>
  <si>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</si>
  <si>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</si>
  <si>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</si>
  <si>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</si>
  <si>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</si>
  <si>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</si>
  <si>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</si>
  <si>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</si>
  <si>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</si>
  <si>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</si>
  <si>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</si>
  <si>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</si>
  <si>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</si>
  <si>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</si>
  <si>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</si>
  <si>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</si>
  <si>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</si>
  <si>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</si>
  <si>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</si>
  <si>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</si>
  <si>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</si>
  <si>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</si>
  <si>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</si>
  <si>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</si>
  <si>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</si>
  <si>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</si>
  <si>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</si>
  <si>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</si>
  <si>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</si>
  <si>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</si>
  <si>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</si>
  <si>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</si>
  <si>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</si>
  <si>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</si>
  <si>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</si>
  <si>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</si>
  <si>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</si>
  <si>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</si>
  <si>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</si>
  <si>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</si>
  <si>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</si>
  <si>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</si>
  <si>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</si>
  <si>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</si>
  <si>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</si>
  <si>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</si>
  <si>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</si>
  <si>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</si>
  <si>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</si>
  <si>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</si>
  <si>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</si>
  <si>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</si>
  <si>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</si>
  <si>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</si>
  <si>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</si>
  <si>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</si>
  <si>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</si>
  <si>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</si>
  <si>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</si>
  <si>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</si>
  <si>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</si>
  <si>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</si>
  <si>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</si>
  <si>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</si>
  <si>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</si>
  <si>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</si>
  <si>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</si>
  <si>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</si>
  <si>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</si>
  <si>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</si>
  <si>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</si>
  <si>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</si>
  <si>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</si>
  <si>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</si>
  <si>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</si>
  <si>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</si>
  <si>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</si>
  <si>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</si>
  <si>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</si>
  <si>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</si>
  <si>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</si>
  <si>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</si>
  <si>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</si>
  <si>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</si>
  <si>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</si>
  <si>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</si>
  <si>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</si>
  <si>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</si>
  <si>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</si>
  <si>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</si>
  <si>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</si>
  <si>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</si>
  <si>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</si>
  <si>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</si>
  <si>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</si>
  <si>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</si>
  <si>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</si>
  <si>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</si>
  <si>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</si>
  <si>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</si>
  <si>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</si>
  <si>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</si>
  <si>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</si>
  <si>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</si>
  <si>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</si>
  <si>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</si>
  <si>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</si>
  <si>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</si>
  <si>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</si>
  <si>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</si>
  <si>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</si>
  <si>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</si>
  <si>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</si>
  <si>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</si>
  <si>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</si>
  <si>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</si>
  <si>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</si>
  <si>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</si>
  <si>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</si>
  <si>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</si>
  <si>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</si>
  <si>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</si>
  <si>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</si>
  <si>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</si>
  <si>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</si>
  <si>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</si>
  <si>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</si>
  <si>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</si>
  <si>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</si>
  <si>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</si>
  <si>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</si>
  <si>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</si>
  <si>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</si>
  <si>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</si>
  <si>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</si>
  <si>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</si>
  <si>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</si>
  <si>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</si>
  <si>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</si>
  <si>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</si>
  <si>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</si>
  <si>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</si>
  <si>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</si>
  <si>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</si>
  <si>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</si>
  <si>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</si>
  <si>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</si>
  <si>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54045399638</t>
  </si>
  <si>
    <t>02372576</t>
  </si>
  <si>
    <t>060207999</t>
  </si>
  <si>
    <t>REGIONALNI CENTAR ČISTOG OKOLIŠA d.o.o.</t>
  </si>
  <si>
    <t>SPLIT</t>
  </si>
  <si>
    <t>Vukovarska 148/b</t>
  </si>
  <si>
    <t>info@rcco.hr</t>
  </si>
  <si>
    <t>021/682821</t>
  </si>
  <si>
    <t>www.rcco.hr</t>
  </si>
  <si>
    <t>Sandra Capan</t>
  </si>
  <si>
    <t>0911730000</t>
  </si>
  <si>
    <t>sandra.capan@rcco.hr</t>
  </si>
  <si>
    <t>HSFI</t>
  </si>
  <si>
    <t>Ivan Vukorepa</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</si>
</sst>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2022</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1383922.6400000001</v>
      </c>
      <c r="I3" s="27">
        <f>ABS(ROUND(J3,0)-J3)+ABS(ROUND(K3,0)-K3)</f>
        <v>0</v>
      </c>
      <c r="J3" s="27">
        <f>Bilanca!I10</f>
        <v>19663676</v>
      </c>
      <c r="K3" s="27">
        <f>Bilanca!J10</f>
        <v>24766228</v>
      </c>
    </row>
    <row r="4" spans="1:11" ht="12.75">
      <c r="A4" s="4" t="s">
        <v>2697</v>
      </c>
      <c r="B4" s="25" t="s">
        <v>364</v>
      </c>
      <c r="D4" s="4" t="s">
        <v>554</v>
      </c>
      <c r="E4" s="4">
        <v>1</v>
      </c>
      <c r="F4" s="4">
        <f>Bilanca!G11</f>
        <v>3</v>
      </c>
      <c r="G4" s="4">
        <f>IF(Bilanca!H11=0,"",Bilanca!H11)</f>
      </c>
      <c r="H4" s="26">
        <f>J4/100*F4+2*K4/100*F4</f>
        <v>1349305.38</v>
      </c>
      <c r="I4" s="27">
        <f>ABS(ROUND(J4,0)-J4)+ABS(ROUND(K4,0)-K4)</f>
        <v>0</v>
      </c>
      <c r="J4" s="27">
        <f>Bilanca!I11</f>
        <v>14491698</v>
      </c>
      <c r="K4" s="27">
        <f>Bilanca!J11</f>
        <v>15242574</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02372576</v>
      </c>
      <c r="D6" s="4" t="s">
        <v>554</v>
      </c>
      <c r="E6" s="4">
        <v>1</v>
      </c>
      <c r="F6" s="4">
        <f>Bilanca!G13</f>
        <v>5</v>
      </c>
      <c r="G6" s="4">
        <f>IF(Bilanca!H13=0,"",Bilanca!H13)</f>
      </c>
      <c r="H6" s="26">
        <f aca="true" t="shared" si="0" ref="H6:H45">J6/100*F6+2*K6/100*F6</f>
        <v>51268.7</v>
      </c>
      <c r="I6" s="27">
        <f aca="true" t="shared" si="1" ref="I6:I45">ABS(ROUND(J6,0)-J6)+ABS(ROUND(K6,0)-K6)</f>
        <v>0</v>
      </c>
      <c r="J6" s="27">
        <f>Bilanca!I13</f>
        <v>429542</v>
      </c>
      <c r="K6" s="27">
        <f>Bilanca!J13</f>
        <v>297916</v>
      </c>
    </row>
    <row r="7" spans="1:11" ht="12.75">
      <c r="A7" s="4" t="s">
        <v>1561</v>
      </c>
      <c r="B7" s="25" t="str">
        <f>RefStr!M27</f>
        <v>060207999</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54045399638</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REGIONALNI CENTAR ČISTOG OKOLIŠA d.o.o.</v>
      </c>
      <c r="D9" s="4" t="s">
        <v>554</v>
      </c>
      <c r="E9" s="4">
        <v>1</v>
      </c>
      <c r="F9" s="4">
        <f>Bilanca!G16</f>
        <v>8</v>
      </c>
      <c r="G9" s="4">
        <f>IF(Bilanca!H16=0,"",Bilanca!H16)</f>
      </c>
      <c r="H9" s="26">
        <f t="shared" si="0"/>
        <v>3516117.76</v>
      </c>
      <c r="I9" s="27">
        <f t="shared" si="1"/>
        <v>0</v>
      </c>
      <c r="J9" s="27">
        <f>Bilanca!I16</f>
        <v>14062156</v>
      </c>
      <c r="K9" s="27">
        <f>Bilanca!J16</f>
        <v>14944658</v>
      </c>
    </row>
    <row r="10" spans="1:11" ht="12.75">
      <c r="A10" s="4" t="s">
        <v>2736</v>
      </c>
      <c r="B10" s="25" t="str">
        <f>TEXT(RefStr!C31,"00000")</f>
        <v>21000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SPLIT</v>
      </c>
      <c r="D11" s="4" t="s">
        <v>554</v>
      </c>
      <c r="E11" s="4">
        <v>1</v>
      </c>
      <c r="F11" s="4">
        <f>Bilanca!G18</f>
        <v>10</v>
      </c>
      <c r="G11" s="4">
        <f>IF(Bilanca!H18=0,"",Bilanca!H18)</f>
      </c>
      <c r="H11" s="26">
        <f t="shared" si="0"/>
        <v>2421928.5999999996</v>
      </c>
      <c r="I11" s="27">
        <f t="shared" si="1"/>
        <v>0</v>
      </c>
      <c r="J11" s="27">
        <f>Bilanca!I18</f>
        <v>5171978</v>
      </c>
      <c r="K11" s="27">
        <f>Bilanca!J18</f>
        <v>9523654</v>
      </c>
    </row>
    <row r="12" spans="1:11" ht="12.75">
      <c r="A12" s="4" t="s">
        <v>2738</v>
      </c>
      <c r="B12" s="25" t="str">
        <f>TRIM(RefStr!C33)</f>
        <v>Vukovarska 148/b</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info@rcco.hr</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t="str">
        <f>TRIM(RefStr!C37)</f>
        <v>www.rcco.hr</v>
      </c>
      <c r="D14" s="4" t="s">
        <v>554</v>
      </c>
      <c r="E14" s="4">
        <v>1</v>
      </c>
      <c r="F14" s="4">
        <f>Bilanca!G21</f>
        <v>13</v>
      </c>
      <c r="G14" s="4">
        <f>IF(Bilanca!H21=0,"",Bilanca!H21)</f>
      </c>
      <c r="H14" s="26">
        <f t="shared" si="0"/>
        <v>58358.17</v>
      </c>
      <c r="I14" s="27">
        <f t="shared" si="1"/>
        <v>0</v>
      </c>
      <c r="J14" s="27">
        <f>Bilanca!I21</f>
        <v>188545</v>
      </c>
      <c r="K14" s="27">
        <f>Bilanca!J21</f>
        <v>130182</v>
      </c>
    </row>
    <row r="15" spans="1:11" ht="12.75">
      <c r="A15" s="4" t="s">
        <v>2741</v>
      </c>
      <c r="B15" s="25" t="str">
        <f>TEXT(RefStr!J39,"00")</f>
        <v>17</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409</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3900</v>
      </c>
      <c r="D17" s="4" t="s">
        <v>554</v>
      </c>
      <c r="E17" s="4">
        <v>1</v>
      </c>
      <c r="F17" s="4">
        <f>Bilanca!G24</f>
        <v>16</v>
      </c>
      <c r="G17" s="4">
        <f>IF(Bilanca!H24=0,"",Bilanca!H24)</f>
      </c>
      <c r="H17" s="26">
        <f t="shared" si="0"/>
        <v>2339647.04</v>
      </c>
      <c r="I17" s="27">
        <f t="shared" si="1"/>
        <v>0</v>
      </c>
      <c r="J17" s="27">
        <f>Bilanca!I24</f>
        <v>4752222</v>
      </c>
      <c r="K17" s="27">
        <f>Bilanca!J24</f>
        <v>4935286</v>
      </c>
    </row>
    <row r="18" spans="1:11" ht="12.75">
      <c r="A18" s="4" t="s">
        <v>2886</v>
      </c>
      <c r="B18" s="25" t="str">
        <f>IF(RefStr!C21&lt;&gt;"",RefStr!C21,"")</f>
        <v>NE</v>
      </c>
      <c r="D18" s="4" t="s">
        <v>554</v>
      </c>
      <c r="E18" s="4">
        <v>1</v>
      </c>
      <c r="F18" s="4">
        <f>Bilanca!G25</f>
        <v>17</v>
      </c>
      <c r="G18" s="4">
        <f>IF(Bilanca!H25=0,"",Bilanca!H25)</f>
      </c>
      <c r="H18" s="26">
        <f t="shared" si="0"/>
        <v>1555089.11</v>
      </c>
      <c r="I18" s="27">
        <f t="shared" si="1"/>
        <v>0</v>
      </c>
      <c r="J18" s="27">
        <f>Bilanca!I25</f>
        <v>231211</v>
      </c>
      <c r="K18" s="27">
        <f>Bilanca!J25</f>
        <v>4458186</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8</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8</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6</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6</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11637960.02</v>
      </c>
      <c r="I38" s="27">
        <f t="shared" si="1"/>
        <v>0</v>
      </c>
      <c r="J38" s="27">
        <f>Bilanca!I45</f>
        <v>8169518</v>
      </c>
      <c r="K38" s="27">
        <f>Bilanca!J45</f>
        <v>11642214</v>
      </c>
    </row>
    <row r="39" spans="1:11" ht="12.75">
      <c r="A39" s="4" t="s">
        <v>1611</v>
      </c>
      <c r="B39" s="25" t="str">
        <f>RefStr!C68</f>
        <v>Sandra Capan</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0911730000</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sandra.capan@rcco.hr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Ivan Vukorepa</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20220101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20221231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1308520.5999999999</v>
      </c>
      <c r="I47" s="27">
        <f t="shared" si="3"/>
        <v>0</v>
      </c>
      <c r="J47" s="27">
        <f>Bilanca!I54</f>
        <v>552332</v>
      </c>
      <c r="K47" s="27">
        <f>Bilanca!J54</f>
        <v>1146139</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0</v>
      </c>
      <c r="I50" s="27">
        <f t="shared" si="3"/>
        <v>0</v>
      </c>
      <c r="J50" s="27">
        <f>Bilanca!I57</f>
        <v>0</v>
      </c>
      <c r="K50" s="27">
        <f>Bilanca!J57</f>
        <v>0</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677354.97</v>
      </c>
      <c r="I52" s="27">
        <f t="shared" si="3"/>
        <v>0</v>
      </c>
      <c r="J52" s="27">
        <f>Bilanca!I59</f>
        <v>71551</v>
      </c>
      <c r="K52" s="27">
        <f>Bilanca!J59</f>
        <v>628298</v>
      </c>
    </row>
    <row r="53" spans="1:11" ht="12.75">
      <c r="A53" s="4" t="s">
        <v>1301</v>
      </c>
      <c r="B53" s="25" t="str">
        <f>RefStr!I56</f>
        <v>DA</v>
      </c>
      <c r="D53" s="4" t="s">
        <v>554</v>
      </c>
      <c r="E53" s="4">
        <v>1</v>
      </c>
      <c r="F53" s="4">
        <f>Bilanca!G60</f>
        <v>52</v>
      </c>
      <c r="G53" s="4">
        <f>IF(Bilanca!H60=0,"",Bilanca!H60)</f>
      </c>
      <c r="H53" s="26">
        <f t="shared" si="2"/>
        <v>788560.76</v>
      </c>
      <c r="I53" s="27">
        <f t="shared" si="3"/>
        <v>0</v>
      </c>
      <c r="J53" s="27">
        <f>Bilanca!I60</f>
        <v>480781</v>
      </c>
      <c r="K53" s="27">
        <f>Bilanca!J60</f>
        <v>517841</v>
      </c>
    </row>
    <row r="54" spans="1:11" ht="12.75">
      <c r="A54" s="4" t="s">
        <v>1302</v>
      </c>
      <c r="B54" s="25" t="str">
        <f>RefStr!I62</f>
        <v>NE</v>
      </c>
      <c r="D54" s="4" t="s">
        <v>554</v>
      </c>
      <c r="E54" s="4">
        <v>1</v>
      </c>
      <c r="F54" s="4">
        <f>Bilanca!G61</f>
        <v>53</v>
      </c>
      <c r="G54" s="4">
        <f>IF(Bilanca!H61=0,"",Bilanca!H61)</f>
      </c>
      <c r="H54" s="26">
        <f t="shared" si="2"/>
        <v>1590000</v>
      </c>
      <c r="I54" s="27">
        <f t="shared" si="3"/>
        <v>0</v>
      </c>
      <c r="J54" s="27">
        <f>Bilanca!I61</f>
        <v>1000000</v>
      </c>
      <c r="K54" s="27">
        <f>Bilanca!J61</f>
        <v>1000000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1217924145.8800006</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1830000</v>
      </c>
      <c r="I62" s="27">
        <f t="shared" si="3"/>
        <v>0</v>
      </c>
      <c r="J62" s="27">
        <f>Bilanca!I69</f>
        <v>1000000</v>
      </c>
      <c r="K62" s="27">
        <f>Bilanca!J69</f>
        <v>1000000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16133881.68</v>
      </c>
      <c r="I64" s="27">
        <f t="shared" si="3"/>
        <v>0</v>
      </c>
      <c r="J64" s="27">
        <f>Bilanca!I71</f>
        <v>6617186</v>
      </c>
      <c r="K64" s="27">
        <f>Bilanca!J71</f>
        <v>9496075</v>
      </c>
    </row>
    <row r="65" spans="1:11" ht="12.75">
      <c r="A65" s="4" t="s">
        <v>923</v>
      </c>
      <c r="B65" s="25" t="str">
        <f>TRIM(RefStr!N19)</f>
        <v>HSFI</v>
      </c>
      <c r="D65" s="4" t="s">
        <v>554</v>
      </c>
      <c r="E65" s="4">
        <v>1</v>
      </c>
      <c r="F65" s="4">
        <f>Bilanca!G72</f>
        <v>64</v>
      </c>
      <c r="G65" s="4">
        <f>IF(Bilanca!H72=0,"",Bilanca!H72)</f>
      </c>
      <c r="H65" s="26">
        <f t="shared" si="2"/>
        <v>4296.96</v>
      </c>
      <c r="I65" s="27">
        <f t="shared" si="3"/>
        <v>0</v>
      </c>
      <c r="J65" s="27">
        <f>Bilanca!I72</f>
        <v>0</v>
      </c>
      <c r="K65" s="27">
        <f>Bilanca!J72</f>
        <v>3357</v>
      </c>
    </row>
    <row r="66" spans="1:11" ht="12.75">
      <c r="A66" s="4" t="s">
        <v>924</v>
      </c>
      <c r="B66" s="25">
        <f>RefStr!C23</f>
        <v>1</v>
      </c>
      <c r="D66" s="4" t="s">
        <v>554</v>
      </c>
      <c r="E66" s="4">
        <v>1</v>
      </c>
      <c r="F66" s="4">
        <f>Bilanca!G73</f>
        <v>65</v>
      </c>
      <c r="G66" s="4">
        <f>IF(Bilanca!H73=0,"",Bilanca!H73)</f>
      </c>
      <c r="H66" s="26">
        <f t="shared" si="2"/>
        <v>65426914.8</v>
      </c>
      <c r="I66" s="27">
        <f t="shared" si="3"/>
        <v>0</v>
      </c>
      <c r="J66" s="27">
        <f>Bilanca!I73</f>
        <v>27833194</v>
      </c>
      <c r="K66" s="27">
        <f>Bilanca!J73</f>
        <v>36411799</v>
      </c>
    </row>
    <row r="67" spans="1:11" ht="12.75">
      <c r="A67" s="4" t="s">
        <v>925</v>
      </c>
      <c r="B67" s="25" t="str">
        <f>TRIM(RefStr!L35)</f>
        <v>021/682821</v>
      </c>
      <c r="D67" s="4" t="s">
        <v>554</v>
      </c>
      <c r="E67" s="4">
        <v>1</v>
      </c>
      <c r="F67" s="4">
        <f>Bilanca!G74</f>
        <v>66</v>
      </c>
      <c r="G67" s="4">
        <f>IF(Bilanca!H74=0,"",Bilanca!H74)</f>
      </c>
      <c r="H67" s="26">
        <f t="shared" si="2"/>
        <v>45554487</v>
      </c>
      <c r="I67" s="27">
        <f t="shared" si="3"/>
        <v>0</v>
      </c>
      <c r="J67" s="27">
        <f>Bilanca!I74</f>
        <v>11699688</v>
      </c>
      <c r="K67" s="27">
        <f>Bilanca!J74</f>
        <v>28661131</v>
      </c>
    </row>
    <row r="68" spans="1:11" ht="12.75">
      <c r="A68" s="4" t="s">
        <v>926</v>
      </c>
      <c r="B68" s="25">
        <f>RefStr!C44</f>
        <v>1</v>
      </c>
      <c r="D68" s="4" t="s">
        <v>554</v>
      </c>
      <c r="E68" s="4">
        <v>1</v>
      </c>
      <c r="F68" s="4">
        <f>Bilanca!G76</f>
        <v>67</v>
      </c>
      <c r="G68" s="4">
        <f>IF(Bilanca!H76=0,"",Bilanca!H76)</f>
      </c>
      <c r="H68" s="26">
        <f t="shared" si="2"/>
        <v>54880534.150000006</v>
      </c>
      <c r="I68" s="27">
        <f t="shared" si="3"/>
        <v>0</v>
      </c>
      <c r="J68" s="27">
        <f>Bilanca!I76</f>
        <v>22296127</v>
      </c>
      <c r="K68" s="27">
        <f>Bilanca!J76</f>
        <v>29807559</v>
      </c>
    </row>
    <row r="69" spans="1:11" ht="12.75">
      <c r="A69" s="4" t="s">
        <v>927</v>
      </c>
      <c r="B69" s="25">
        <f>TRIM(RefStr!M46)</f>
      </c>
      <c r="D69" s="4" t="s">
        <v>554</v>
      </c>
      <c r="E69" s="4">
        <v>1</v>
      </c>
      <c r="F69" s="4">
        <f>Bilanca!G77</f>
        <v>68</v>
      </c>
      <c r="G69" s="4">
        <f>IF(Bilanca!H77=0,"",Bilanca!H77)</f>
      </c>
      <c r="H69" s="26">
        <f t="shared" si="2"/>
        <v>86179392</v>
      </c>
      <c r="I69" s="27">
        <f t="shared" si="3"/>
        <v>0</v>
      </c>
      <c r="J69" s="27">
        <f>Bilanca!I77</f>
        <v>23570000</v>
      </c>
      <c r="K69" s="27">
        <f>Bilanca!J77</f>
        <v>51582200</v>
      </c>
    </row>
    <row r="70" spans="1:11" ht="12.75">
      <c r="A70" s="4" t="s">
        <v>928</v>
      </c>
      <c r="B70" s="25">
        <f>RefStr!C46</f>
        <v>0</v>
      </c>
      <c r="D70" s="4" t="s">
        <v>554</v>
      </c>
      <c r="E70" s="4">
        <v>1</v>
      </c>
      <c r="F70" s="4">
        <f>Bilanca!G78</f>
        <v>69</v>
      </c>
      <c r="G70" s="4">
        <f>IF(Bilanca!H78=0,"",Bilanca!H78)</f>
      </c>
      <c r="H70" s="26">
        <f t="shared" si="2"/>
        <v>12428585.67</v>
      </c>
      <c r="I70" s="27">
        <f t="shared" si="3"/>
        <v>0</v>
      </c>
      <c r="J70" s="27">
        <f>Bilanca!I78</f>
        <v>18012281</v>
      </c>
      <c r="K70" s="27">
        <f>Bilanca!J78</f>
        <v>81</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-45885171.37</v>
      </c>
      <c r="I84" s="27">
        <f t="shared" si="3"/>
        <v>0</v>
      </c>
      <c r="J84" s="27">
        <f>Bilanca!I92</f>
        <v>-16711033</v>
      </c>
      <c r="K84" s="27">
        <f>Bilanca!J92</f>
        <v>-19286153</v>
      </c>
    </row>
    <row r="85" spans="4:11" ht="12.75">
      <c r="D85" s="4" t="s">
        <v>554</v>
      </c>
      <c r="E85" s="4">
        <v>1</v>
      </c>
      <c r="F85" s="4">
        <f>Bilanca!G93</f>
        <v>84</v>
      </c>
      <c r="G85" s="4">
        <f>IF(Bilanca!H93=0,"",Bilanca!H93)</f>
      </c>
      <c r="H85" s="26">
        <f t="shared" si="2"/>
        <v>0</v>
      </c>
      <c r="I85" s="27">
        <f t="shared" si="3"/>
        <v>0</v>
      </c>
      <c r="J85" s="27">
        <f>Bilanca!I93</f>
        <v>0</v>
      </c>
      <c r="K85" s="27">
        <f>Bilanca!J93</f>
        <v>0</v>
      </c>
    </row>
    <row r="86" spans="4:11" ht="12.75">
      <c r="D86" s="4" t="s">
        <v>554</v>
      </c>
      <c r="E86" s="4">
        <v>1</v>
      </c>
      <c r="F86" s="4">
        <f>Bilanca!G94</f>
        <v>85</v>
      </c>
      <c r="G86" s="4">
        <f>IF(Bilanca!H94=0,"",Bilanca!H94)</f>
      </c>
      <c r="H86" s="26">
        <f t="shared" si="2"/>
        <v>46990838.15</v>
      </c>
      <c r="I86" s="27">
        <f t="shared" si="3"/>
        <v>0</v>
      </c>
      <c r="J86" s="27">
        <f>Bilanca!I94</f>
        <v>16711033</v>
      </c>
      <c r="K86" s="27">
        <f>Bilanca!J94</f>
        <v>19286153</v>
      </c>
    </row>
    <row r="87" spans="4:11" ht="12.75">
      <c r="D87" s="4" t="s">
        <v>554</v>
      </c>
      <c r="E87" s="4">
        <v>1</v>
      </c>
      <c r="F87" s="4">
        <f>Bilanca!G95</f>
        <v>86</v>
      </c>
      <c r="G87" s="4">
        <f>IF(Bilanca!H95=0,"",Bilanca!H95)</f>
      </c>
      <c r="H87" s="26">
        <f>J87/100*F87+2*K87/100*F87</f>
        <v>-6494942.74</v>
      </c>
      <c r="I87" s="27">
        <f>ABS(ROUND(J87,0)-J87)+ABS(ROUND(K87,0)-K87)</f>
        <v>0</v>
      </c>
      <c r="J87" s="27">
        <f>Bilanca!I95</f>
        <v>-2575121</v>
      </c>
      <c r="K87" s="27">
        <f>Bilanca!J95</f>
        <v>-2488569</v>
      </c>
    </row>
    <row r="88" spans="4:11" ht="12.75">
      <c r="D88" s="4" t="s">
        <v>554</v>
      </c>
      <c r="E88" s="4">
        <v>1</v>
      </c>
      <c r="F88" s="4">
        <f>Bilanca!G96</f>
        <v>87</v>
      </c>
      <c r="G88" s="4">
        <f>IF(Bilanca!H96=0,"",Bilanca!H96)</f>
      </c>
      <c r="H88" s="26">
        <f>J88/100*F88+2*K88/100*F88</f>
        <v>0</v>
      </c>
      <c r="I88" s="27">
        <f>ABS(ROUND(J88,0)-J88)+ABS(ROUND(K88,0)-K88)</f>
        <v>0</v>
      </c>
      <c r="J88" s="27">
        <f>Bilanca!I96</f>
        <v>0</v>
      </c>
      <c r="K88" s="27">
        <f>Bilanca!J96</f>
        <v>0</v>
      </c>
    </row>
    <row r="89" spans="4:11" ht="12.75">
      <c r="D89" s="4" t="s">
        <v>554</v>
      </c>
      <c r="E89" s="4">
        <v>1</v>
      </c>
      <c r="F89" s="4">
        <f>Bilanca!G97</f>
        <v>88</v>
      </c>
      <c r="G89" s="4">
        <f>IF(Bilanca!H97=0,"",Bilanca!H97)</f>
      </c>
      <c r="H89" s="26">
        <f aca="true" t="shared" si="4" ref="H89:H129">J89/100*F89+2*K89/100*F89</f>
        <v>6645987.92</v>
      </c>
      <c r="I89" s="27">
        <f aca="true" t="shared" si="5" ref="I89:I129">ABS(ROUND(J89,0)-J89)+ABS(ROUND(K89,0)-K89)</f>
        <v>0</v>
      </c>
      <c r="J89" s="27">
        <f>Bilanca!I97</f>
        <v>2575121</v>
      </c>
      <c r="K89" s="27">
        <f>Bilanca!J97</f>
        <v>2488569</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0</v>
      </c>
      <c r="I98" s="27">
        <f t="shared" si="5"/>
        <v>0</v>
      </c>
      <c r="J98" s="27">
        <f>Bilanca!I106</f>
        <v>0</v>
      </c>
      <c r="K98" s="27">
        <f>Bilanca!J106</f>
        <v>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3073759.67</v>
      </c>
      <c r="I110" s="27">
        <f t="shared" si="5"/>
        <v>0</v>
      </c>
      <c r="J110" s="27">
        <f>Bilanca!I118</f>
        <v>563651</v>
      </c>
      <c r="K110" s="27">
        <f>Bilanca!J118</f>
        <v>1128156</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1278030</v>
      </c>
      <c r="I114" s="27">
        <f t="shared" si="5"/>
        <v>0</v>
      </c>
      <c r="J114" s="27">
        <f>Bilanca!I122</f>
        <v>377000</v>
      </c>
      <c r="K114" s="27">
        <f>Bilanca!J122</f>
        <v>377000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1389417.12</v>
      </c>
      <c r="I118" s="27">
        <f t="shared" si="5"/>
        <v>0</v>
      </c>
      <c r="J118" s="27">
        <f>Bilanca!I126</f>
        <v>54202</v>
      </c>
      <c r="K118" s="27">
        <f>Bilanca!J126</f>
        <v>566667</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267844.01</v>
      </c>
      <c r="I120" s="27">
        <f t="shared" si="5"/>
        <v>0</v>
      </c>
      <c r="J120" s="27">
        <f>Bilanca!I128</f>
        <v>74461</v>
      </c>
      <c r="K120" s="27">
        <f>Bilanca!J128</f>
        <v>75309</v>
      </c>
    </row>
    <row r="121" spans="4:11" ht="12.75">
      <c r="D121" s="4" t="s">
        <v>554</v>
      </c>
      <c r="E121" s="4">
        <v>1</v>
      </c>
      <c r="F121" s="4">
        <f>Bilanca!G129</f>
        <v>120</v>
      </c>
      <c r="G121" s="4">
        <f>IF(Bilanca!H129=0,"",Bilanca!H129)</f>
      </c>
      <c r="H121" s="26">
        <f t="shared" si="4"/>
        <v>331617.6</v>
      </c>
      <c r="I121" s="27">
        <f t="shared" si="5"/>
        <v>0</v>
      </c>
      <c r="J121" s="27">
        <f>Bilanca!I129</f>
        <v>57988</v>
      </c>
      <c r="K121" s="27">
        <f>Bilanca!J129</f>
        <v>109180</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0</v>
      </c>
      <c r="I124" s="27">
        <f t="shared" si="5"/>
        <v>0</v>
      </c>
      <c r="J124" s="27">
        <f>Bilanca!I132</f>
        <v>0</v>
      </c>
      <c r="K124" s="27">
        <f>Bilanca!J132</f>
        <v>0</v>
      </c>
    </row>
    <row r="125" spans="4:11" ht="12.75">
      <c r="D125" s="4" t="s">
        <v>554</v>
      </c>
      <c r="E125" s="4">
        <v>1</v>
      </c>
      <c r="F125" s="4">
        <f>Bilanca!G133</f>
        <v>124</v>
      </c>
      <c r="G125" s="4">
        <f>IF(Bilanca!H133=0,"",Bilanca!H133)</f>
      </c>
      <c r="H125" s="26">
        <f t="shared" si="4"/>
        <v>19747724.16</v>
      </c>
      <c r="I125" s="27">
        <f t="shared" si="5"/>
        <v>0</v>
      </c>
      <c r="J125" s="27">
        <f>Bilanca!I133</f>
        <v>4973416</v>
      </c>
      <c r="K125" s="27">
        <f>Bilanca!J133</f>
        <v>5476084</v>
      </c>
    </row>
    <row r="126" spans="4:11" ht="12.75">
      <c r="D126" s="4" t="s">
        <v>554</v>
      </c>
      <c r="E126" s="4">
        <v>1</v>
      </c>
      <c r="F126" s="4">
        <f>Bilanca!G134</f>
        <v>125</v>
      </c>
      <c r="G126" s="4">
        <f>IF(Bilanca!H134=0,"",Bilanca!H134)</f>
      </c>
      <c r="H126" s="26">
        <f t="shared" si="4"/>
        <v>125820990</v>
      </c>
      <c r="I126" s="27">
        <f t="shared" si="5"/>
        <v>0</v>
      </c>
      <c r="J126" s="27">
        <f>Bilanca!I134</f>
        <v>27833194</v>
      </c>
      <c r="K126" s="27">
        <f>Bilanca!J134</f>
        <v>36411799</v>
      </c>
    </row>
    <row r="127" spans="4:11" ht="12.75">
      <c r="D127" s="4" t="s">
        <v>554</v>
      </c>
      <c r="E127" s="4">
        <v>1</v>
      </c>
      <c r="F127" s="4">
        <f>Bilanca!G135</f>
        <v>126</v>
      </c>
      <c r="G127" s="4">
        <f>IF(Bilanca!H135=0,"",Bilanca!H135)</f>
      </c>
      <c r="H127" s="26">
        <f t="shared" si="4"/>
        <v>86967657</v>
      </c>
      <c r="I127" s="27">
        <f t="shared" si="5"/>
        <v>0</v>
      </c>
      <c r="J127" s="27">
        <f>Bilanca!I135</f>
        <v>11699688</v>
      </c>
      <c r="K127" s="27">
        <f>Bilanca!J135</f>
        <v>28661131</v>
      </c>
    </row>
    <row r="128" spans="4:11" ht="12.75">
      <c r="D128" s="4" t="s">
        <v>794</v>
      </c>
      <c r="E128" s="4">
        <v>2</v>
      </c>
      <c r="F128" s="4">
        <f>RDG!G8</f>
        <v>127</v>
      </c>
      <c r="G128" s="4">
        <f>IF(RDG!H8=0,"",RDG!H8)</f>
      </c>
      <c r="H128" s="26">
        <f t="shared" si="4"/>
        <v>1988873.34</v>
      </c>
      <c r="I128" s="4">
        <f t="shared" si="5"/>
        <v>0</v>
      </c>
      <c r="J128" s="27">
        <f>RDG!I8</f>
        <v>264802</v>
      </c>
      <c r="K128" s="27">
        <f>RDG!J8</f>
        <v>650620</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1806</v>
      </c>
      <c r="I130" s="4">
        <f aca="true" t="shared" si="7" ref="I130:I192">ABS(ROUND(J130,0)-J130)+ABS(ROUND(K130,0)-K130)</f>
        <v>0</v>
      </c>
      <c r="J130" s="27">
        <f>RDG!I10</f>
        <v>200</v>
      </c>
      <c r="K130" s="27">
        <f>RDG!J10</f>
        <v>600</v>
      </c>
    </row>
    <row r="131" spans="4:11" ht="12.75">
      <c r="D131" s="4" t="s">
        <v>794</v>
      </c>
      <c r="E131" s="4">
        <v>2</v>
      </c>
      <c r="F131" s="4">
        <f>RDG!G11</f>
        <v>130</v>
      </c>
      <c r="G131" s="4">
        <f>IF(RDG!H11=0,"",RDG!H11)</f>
      </c>
      <c r="H131" s="26">
        <f t="shared" si="6"/>
        <v>29265.600000000002</v>
      </c>
      <c r="I131" s="4">
        <f t="shared" si="7"/>
        <v>0</v>
      </c>
      <c r="J131" s="27">
        <f>RDG!I11</f>
        <v>0</v>
      </c>
      <c r="K131" s="27">
        <f>RDG!J11</f>
        <v>11256</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2035611.6</v>
      </c>
      <c r="I133" s="4">
        <f t="shared" si="7"/>
        <v>0</v>
      </c>
      <c r="J133" s="27">
        <f>RDG!I13</f>
        <v>264602</v>
      </c>
      <c r="K133" s="27">
        <f>RDG!J13</f>
        <v>638764</v>
      </c>
    </row>
    <row r="134" spans="4:11" ht="12.75">
      <c r="D134" s="4" t="s">
        <v>794</v>
      </c>
      <c r="E134" s="4">
        <v>2</v>
      </c>
      <c r="F134" s="4">
        <f>RDG!G14</f>
        <v>133</v>
      </c>
      <c r="G134" s="4">
        <f>IF(RDG!H14=0,"",RDG!H14)</f>
      </c>
      <c r="H134" s="26">
        <f t="shared" si="6"/>
        <v>12287272.83</v>
      </c>
      <c r="I134" s="4">
        <f t="shared" si="7"/>
        <v>0</v>
      </c>
      <c r="J134" s="27">
        <f>RDG!I14</f>
        <v>2880143</v>
      </c>
      <c r="K134" s="27">
        <f>RDG!J14</f>
        <v>3179204</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5120058.6</v>
      </c>
      <c r="I136" s="4">
        <f t="shared" si="7"/>
        <v>0</v>
      </c>
      <c r="J136" s="27">
        <f>RDG!I16</f>
        <v>1049140</v>
      </c>
      <c r="K136" s="27">
        <f>RDG!J16</f>
        <v>1371748</v>
      </c>
    </row>
    <row r="137" spans="4:11" ht="12.75">
      <c r="D137" s="4" t="s">
        <v>794</v>
      </c>
      <c r="E137" s="4">
        <v>2</v>
      </c>
      <c r="F137" s="4">
        <f>RDG!G17</f>
        <v>136</v>
      </c>
      <c r="G137" s="4">
        <f>IF(RDG!H17=0,"",RDG!H17)</f>
      </c>
      <c r="H137" s="26">
        <f t="shared" si="6"/>
        <v>215010.55999999997</v>
      </c>
      <c r="I137" s="4">
        <f t="shared" si="7"/>
        <v>0</v>
      </c>
      <c r="J137" s="27">
        <f>RDG!I17</f>
        <v>36734</v>
      </c>
      <c r="K137" s="27">
        <f>RDG!J17</f>
        <v>60681</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5015665.2</v>
      </c>
      <c r="I139" s="4">
        <f t="shared" si="7"/>
        <v>0</v>
      </c>
      <c r="J139" s="27">
        <f>RDG!I19</f>
        <v>1012406</v>
      </c>
      <c r="K139" s="27">
        <f>RDG!J19</f>
        <v>1311067</v>
      </c>
    </row>
    <row r="140" spans="4:11" ht="12.75">
      <c r="D140" s="4" t="s">
        <v>794</v>
      </c>
      <c r="E140" s="4">
        <v>2</v>
      </c>
      <c r="F140" s="4">
        <f>RDG!G20</f>
        <v>139</v>
      </c>
      <c r="G140" s="4">
        <f>IF(RDG!H20=0,"",RDG!H20)</f>
      </c>
      <c r="H140" s="26">
        <f t="shared" si="6"/>
        <v>6117221.8100000005</v>
      </c>
      <c r="I140" s="4">
        <f t="shared" si="7"/>
        <v>0</v>
      </c>
      <c r="J140" s="27">
        <f>RDG!I20</f>
        <v>1493105</v>
      </c>
      <c r="K140" s="27">
        <f>RDG!J20</f>
        <v>1453887</v>
      </c>
    </row>
    <row r="141" spans="4:11" ht="12.75">
      <c r="D141" s="4" t="s">
        <v>794</v>
      </c>
      <c r="E141" s="4">
        <v>2</v>
      </c>
      <c r="F141" s="4">
        <f>RDG!G21</f>
        <v>140</v>
      </c>
      <c r="G141" s="4">
        <f>IF(RDG!H21=0,"",RDG!H21)</f>
      </c>
      <c r="H141" s="26">
        <f t="shared" si="6"/>
        <v>3622771.5999999996</v>
      </c>
      <c r="I141" s="4">
        <f t="shared" si="7"/>
        <v>0</v>
      </c>
      <c r="J141" s="27">
        <f>RDG!I21</f>
        <v>886648</v>
      </c>
      <c r="K141" s="27">
        <f>RDG!J21</f>
        <v>850523</v>
      </c>
    </row>
    <row r="142" spans="4:11" ht="12.75">
      <c r="D142" s="4" t="s">
        <v>794</v>
      </c>
      <c r="E142" s="4">
        <v>2</v>
      </c>
      <c r="F142" s="4">
        <f>RDG!G22</f>
        <v>141</v>
      </c>
      <c r="G142" s="4">
        <f>IF(RDG!H22=0,"",RDG!H22)</f>
      </c>
      <c r="H142" s="26">
        <f t="shared" si="6"/>
        <v>1676838.27</v>
      </c>
      <c r="I142" s="4">
        <f t="shared" si="7"/>
        <v>0</v>
      </c>
      <c r="J142" s="27">
        <f>RDG!I22</f>
        <v>394775</v>
      </c>
      <c r="K142" s="27">
        <f>RDG!J22</f>
        <v>397236</v>
      </c>
    </row>
    <row r="143" spans="4:11" ht="12.75">
      <c r="D143" s="4" t="s">
        <v>794</v>
      </c>
      <c r="E143" s="4">
        <v>2</v>
      </c>
      <c r="F143" s="4">
        <f>RDG!G23</f>
        <v>142</v>
      </c>
      <c r="G143" s="4">
        <f>IF(RDG!H23=0,"",RDG!H23)</f>
      </c>
      <c r="H143" s="26">
        <f t="shared" si="6"/>
        <v>885991.96</v>
      </c>
      <c r="I143" s="4">
        <f t="shared" si="7"/>
        <v>0</v>
      </c>
      <c r="J143" s="27">
        <f>RDG!I23</f>
        <v>211682</v>
      </c>
      <c r="K143" s="27">
        <f>RDG!J23</f>
        <v>206128</v>
      </c>
    </row>
    <row r="144" spans="4:11" ht="12.75">
      <c r="D144" s="4" t="s">
        <v>794</v>
      </c>
      <c r="E144" s="4">
        <v>2</v>
      </c>
      <c r="F144" s="4">
        <f>RDG!G24</f>
        <v>143</v>
      </c>
      <c r="G144" s="4">
        <f>IF(RDG!H24=0,"",RDG!H24)</f>
      </c>
      <c r="H144" s="26">
        <f t="shared" si="6"/>
        <v>824941.26</v>
      </c>
      <c r="I144" s="4">
        <f t="shared" si="7"/>
        <v>0</v>
      </c>
      <c r="J144" s="27">
        <f>RDG!I24</f>
        <v>196902</v>
      </c>
      <c r="K144" s="27">
        <f>RDG!J24</f>
        <v>189990</v>
      </c>
    </row>
    <row r="145" spans="4:11" ht="12.75">
      <c r="D145" s="4" t="s">
        <v>794</v>
      </c>
      <c r="E145" s="4">
        <v>2</v>
      </c>
      <c r="F145" s="4">
        <f>RDG!G25</f>
        <v>144</v>
      </c>
      <c r="G145" s="4">
        <f>IF(RDG!H25=0,"",RDG!H25)</f>
      </c>
      <c r="H145" s="26">
        <f t="shared" si="6"/>
        <v>674141.76</v>
      </c>
      <c r="I145" s="4">
        <f t="shared" si="7"/>
        <v>0</v>
      </c>
      <c r="J145" s="27">
        <f>RDG!I25</f>
        <v>140996</v>
      </c>
      <c r="K145" s="27">
        <f>RDG!J25</f>
        <v>163579</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0</v>
      </c>
      <c r="I156" s="4">
        <f t="shared" si="7"/>
        <v>0</v>
      </c>
      <c r="J156" s="27">
        <f>RDG!I36</f>
        <v>0</v>
      </c>
      <c r="K156" s="27">
        <f>RDG!J36</f>
        <v>0</v>
      </c>
    </row>
    <row r="157" spans="4:11" ht="12.75">
      <c r="D157" s="4" t="s">
        <v>794</v>
      </c>
      <c r="E157" s="4">
        <v>2</v>
      </c>
      <c r="F157" s="4">
        <f>RDG!G37</f>
        <v>156</v>
      </c>
      <c r="G157" s="4">
        <f>IF(RDG!H37=0,"",RDG!H37)</f>
      </c>
      <c r="H157" s="26">
        <f t="shared" si="6"/>
        <v>187590</v>
      </c>
      <c r="I157" s="4">
        <f t="shared" si="7"/>
        <v>0</v>
      </c>
      <c r="J157" s="27">
        <f>RDG!I37</f>
        <v>40220</v>
      </c>
      <c r="K157" s="27">
        <f>RDG!J37</f>
        <v>40015</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196007.5</v>
      </c>
      <c r="I164" s="4">
        <f t="shared" si="7"/>
        <v>0</v>
      </c>
      <c r="J164" s="27">
        <f>RDG!I44</f>
        <v>40220</v>
      </c>
      <c r="K164" s="27">
        <f>RDG!J44</f>
        <v>40015</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0</v>
      </c>
      <c r="I168" s="4">
        <f t="shared" si="7"/>
        <v>0</v>
      </c>
      <c r="J168" s="27">
        <f>RDG!I48</f>
        <v>0</v>
      </c>
      <c r="K168" s="27">
        <f>RDG!J48</f>
        <v>0</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0</v>
      </c>
      <c r="I171" s="4">
        <f t="shared" si="7"/>
        <v>0</v>
      </c>
      <c r="J171" s="27">
        <f>RDG!I51</f>
        <v>0</v>
      </c>
      <c r="K171" s="27">
        <f>RDG!J51</f>
        <v>0</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3018462.68</v>
      </c>
      <c r="I180" s="4">
        <f t="shared" si="7"/>
        <v>0</v>
      </c>
      <c r="J180" s="27">
        <f>RDG!I60</f>
        <v>305022</v>
      </c>
      <c r="K180" s="27">
        <f>RDG!J60</f>
        <v>690635</v>
      </c>
    </row>
    <row r="181" spans="4:11" ht="12.75">
      <c r="D181" s="4" t="s">
        <v>794</v>
      </c>
      <c r="E181" s="4">
        <v>2</v>
      </c>
      <c r="F181" s="4">
        <f>RDG!G61</f>
        <v>180</v>
      </c>
      <c r="G181" s="4">
        <f>IF(RDG!H61=0,"",RDG!H61)</f>
      </c>
      <c r="H181" s="26">
        <f t="shared" si="6"/>
        <v>16629391.8</v>
      </c>
      <c r="I181" s="4">
        <f t="shared" si="7"/>
        <v>0</v>
      </c>
      <c r="J181" s="27">
        <f>RDG!I61</f>
        <v>2880143</v>
      </c>
      <c r="K181" s="27">
        <f>RDG!J61</f>
        <v>3179204</v>
      </c>
    </row>
    <row r="182" spans="4:11" ht="12.75">
      <c r="D182" s="4" t="s">
        <v>794</v>
      </c>
      <c r="E182" s="4">
        <v>2</v>
      </c>
      <c r="F182" s="4">
        <f>RDG!G62</f>
        <v>181</v>
      </c>
      <c r="G182" s="4">
        <f>IF(RDG!H62=0,"",RDG!H62)</f>
      </c>
      <c r="H182" s="26">
        <f t="shared" si="6"/>
        <v>-13669588.79</v>
      </c>
      <c r="I182" s="4">
        <f t="shared" si="7"/>
        <v>0</v>
      </c>
      <c r="J182" s="27">
        <f>RDG!I62</f>
        <v>-2575121</v>
      </c>
      <c r="K182" s="27">
        <f>RDG!J62</f>
        <v>-2488569</v>
      </c>
    </row>
    <row r="183" spans="4:11" ht="12.75">
      <c r="D183" s="4" t="s">
        <v>794</v>
      </c>
      <c r="E183" s="4">
        <v>2</v>
      </c>
      <c r="F183" s="4">
        <f>RDG!G63</f>
        <v>182</v>
      </c>
      <c r="G183" s="4">
        <f>IF(RDG!H63=0,"",RDG!H63)</f>
      </c>
      <c r="H183" s="26">
        <f t="shared" si="6"/>
        <v>0</v>
      </c>
      <c r="I183" s="4">
        <f t="shared" si="7"/>
        <v>0</v>
      </c>
      <c r="J183" s="27">
        <f>RDG!I63</f>
        <v>0</v>
      </c>
      <c r="K183" s="27">
        <f>RDG!J63</f>
        <v>0</v>
      </c>
    </row>
    <row r="184" spans="4:11" ht="12.75">
      <c r="D184" s="4" t="s">
        <v>794</v>
      </c>
      <c r="E184" s="4">
        <v>2</v>
      </c>
      <c r="F184" s="4">
        <f>RDG!G64</f>
        <v>183</v>
      </c>
      <c r="G184" s="4">
        <f>IF(RDG!H64=0,"",RDG!H64)</f>
      </c>
      <c r="H184" s="26">
        <f t="shared" si="6"/>
        <v>13820633.969999999</v>
      </c>
      <c r="I184" s="4">
        <f t="shared" si="7"/>
        <v>0</v>
      </c>
      <c r="J184" s="27">
        <f>RDG!I64</f>
        <v>2575121</v>
      </c>
      <c r="K184" s="27">
        <f>RDG!J64</f>
        <v>2488569</v>
      </c>
    </row>
    <row r="185" spans="4:11" ht="12.75">
      <c r="D185" s="4" t="s">
        <v>794</v>
      </c>
      <c r="E185" s="4">
        <v>2</v>
      </c>
      <c r="F185" s="4">
        <f>RDG!G65</f>
        <v>184</v>
      </c>
      <c r="G185" s="4">
        <f>IF(RDG!H65=0,"",RDG!H65)</f>
      </c>
      <c r="H185" s="26">
        <f t="shared" si="6"/>
        <v>0</v>
      </c>
      <c r="I185" s="4">
        <f t="shared" si="7"/>
        <v>0</v>
      </c>
      <c r="J185" s="27">
        <f>RDG!I65</f>
        <v>0</v>
      </c>
      <c r="K185" s="27">
        <f>RDG!J65</f>
        <v>0</v>
      </c>
    </row>
    <row r="186" spans="4:11" ht="12.75">
      <c r="D186" s="4" t="s">
        <v>794</v>
      </c>
      <c r="E186" s="4">
        <v>2</v>
      </c>
      <c r="F186" s="4">
        <f>RDG!G66</f>
        <v>185</v>
      </c>
      <c r="G186" s="4">
        <f>IF(RDG!H66=0,"",RDG!H66)</f>
      </c>
      <c r="H186" s="26">
        <f t="shared" si="6"/>
        <v>-13971679.149999999</v>
      </c>
      <c r="I186" s="4">
        <f t="shared" si="7"/>
        <v>0</v>
      </c>
      <c r="J186" s="27">
        <f>RDG!I66</f>
        <v>-2575121</v>
      </c>
      <c r="K186" s="27">
        <f>RDG!J66</f>
        <v>-2488569</v>
      </c>
    </row>
    <row r="187" spans="4:11" ht="12.75">
      <c r="D187" s="4" t="s">
        <v>794</v>
      </c>
      <c r="E187" s="4">
        <v>2</v>
      </c>
      <c r="F187" s="4">
        <f>RDG!G67</f>
        <v>186</v>
      </c>
      <c r="G187" s="4">
        <f>IF(RDG!H67=0,"",RDG!H67)</f>
      </c>
      <c r="H187" s="26">
        <f t="shared" si="6"/>
        <v>0</v>
      </c>
      <c r="I187" s="4">
        <f t="shared" si="7"/>
        <v>0</v>
      </c>
      <c r="J187" s="27">
        <f>RDG!I67</f>
        <v>0</v>
      </c>
      <c r="K187" s="27">
        <f>RDG!J67</f>
        <v>0</v>
      </c>
    </row>
    <row r="188" spans="4:11" ht="12.75">
      <c r="D188" s="4" t="s">
        <v>794</v>
      </c>
      <c r="E188" s="4">
        <v>2</v>
      </c>
      <c r="F188" s="4">
        <f>RDG!G68</f>
        <v>187</v>
      </c>
      <c r="G188" s="4">
        <f>IF(RDG!H68=0,"",RDG!H68)</f>
      </c>
      <c r="H188" s="26">
        <f t="shared" si="6"/>
        <v>14122724.329999998</v>
      </c>
      <c r="I188" s="4">
        <f t="shared" si="7"/>
        <v>0</v>
      </c>
      <c r="J188" s="27">
        <f>RDG!I68</f>
        <v>2575121</v>
      </c>
      <c r="K188" s="27">
        <f>RDG!J68</f>
        <v>2488569</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6870000</v>
      </c>
      <c r="I230" s="4">
        <f>ABS(ROUND(J230,0)-J230)+ABS(ROUND(K230,0)-K230)</f>
        <v>0</v>
      </c>
      <c r="J230" s="27">
        <f>Dodatni!I10</f>
        <v>1000000</v>
      </c>
      <c r="K230" s="27">
        <f>Dodatni!J10</f>
        <v>1000000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6850.2</v>
      </c>
      <c r="I234" s="4">
        <f t="shared" si="13"/>
        <v>0</v>
      </c>
      <c r="J234" s="27">
        <f>Dodatni!I14</f>
        <v>2940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3388</v>
      </c>
      <c r="I243" s="4">
        <f t="shared" si="13"/>
        <v>0</v>
      </c>
      <c r="J243" s="27">
        <f>Dodatni!I26</f>
        <v>200</v>
      </c>
      <c r="K243" s="27">
        <f>Dodatni!J26</f>
        <v>600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3528</v>
      </c>
      <c r="I253" s="4">
        <f t="shared" si="13"/>
        <v>0</v>
      </c>
      <c r="J253" s="27">
        <f>Dodatni!I37</f>
        <v>200</v>
      </c>
      <c r="K253" s="27">
        <f>Dodatni!J37</f>
        <v>600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57180.48</v>
      </c>
      <c r="I255" s="4">
        <f t="shared" si="13"/>
        <v>0</v>
      </c>
      <c r="J255" s="27">
        <f>Dodatni!I40</f>
        <v>0</v>
      </c>
      <c r="K255" s="27">
        <f>Dodatni!J40</f>
        <v>11256</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182705.7</v>
      </c>
      <c r="I263" s="4">
        <f t="shared" si="13"/>
        <v>0</v>
      </c>
      <c r="J263" s="27">
        <f>Dodatni!I50</f>
        <v>19799</v>
      </c>
      <c r="K263" s="27">
        <f>Dodatni!J50</f>
        <v>24968</v>
      </c>
    </row>
    <row r="264" spans="4:11" ht="12.75">
      <c r="D264" s="4" t="s">
        <v>555</v>
      </c>
      <c r="E264" s="4">
        <v>3</v>
      </c>
      <c r="F264" s="4">
        <f>Dodatni!H51</f>
        <v>263</v>
      </c>
      <c r="H264" s="26">
        <f t="shared" si="12"/>
        <v>27459.83</v>
      </c>
      <c r="I264" s="4">
        <f t="shared" si="13"/>
        <v>0</v>
      </c>
      <c r="J264" s="27">
        <f>Dodatni!I51</f>
        <v>3583</v>
      </c>
      <c r="K264" s="27">
        <f>Dodatni!J51</f>
        <v>3429</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1279224.12</v>
      </c>
      <c r="I270" s="4">
        <f t="shared" si="13"/>
        <v>0</v>
      </c>
      <c r="J270" s="27">
        <f>Dodatni!I57</f>
        <v>163588</v>
      </c>
      <c r="K270" s="27">
        <f>Dodatni!J57</f>
        <v>155980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21904.16</v>
      </c>
      <c r="I273" s="4">
        <f t="shared" si="13"/>
        <v>0</v>
      </c>
      <c r="J273" s="27">
        <f>Dodatni!I60</f>
        <v>2689</v>
      </c>
      <c r="K273" s="27">
        <f>Dodatni!J60</f>
        <v>2682</v>
      </c>
    </row>
    <row r="274" spans="4:11" ht="12.75">
      <c r="D274" s="4" t="s">
        <v>555</v>
      </c>
      <c r="E274" s="4">
        <v>3</v>
      </c>
      <c r="F274" s="4">
        <f>Dodatni!H61</f>
        <v>273</v>
      </c>
      <c r="H274" s="26">
        <f t="shared" si="12"/>
        <v>21984.69</v>
      </c>
      <c r="I274" s="4">
        <f t="shared" si="13"/>
        <v>0</v>
      </c>
      <c r="J274" s="27">
        <f>Dodatni!I61</f>
        <v>2689</v>
      </c>
      <c r="K274" s="27">
        <f>Dodatni!J61</f>
        <v>2682</v>
      </c>
    </row>
    <row r="275" spans="4:11" ht="12.75">
      <c r="D275" s="4" t="s">
        <v>555</v>
      </c>
      <c r="E275" s="4">
        <v>3</v>
      </c>
      <c r="F275" s="4">
        <f>Dodatni!H62</f>
        <v>274</v>
      </c>
      <c r="H275" s="26">
        <f t="shared" si="12"/>
        <v>4120.96</v>
      </c>
      <c r="I275" s="4">
        <f t="shared" si="13"/>
        <v>0</v>
      </c>
      <c r="J275" s="27">
        <f>Dodatni!I62</f>
        <v>504</v>
      </c>
      <c r="K275" s="27">
        <f>Dodatni!J62</f>
        <v>500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1011842.22</v>
      </c>
      <c r="I278" s="4">
        <f t="shared" si="13"/>
        <v>0</v>
      </c>
      <c r="J278" s="27">
        <f>Dodatni!I65</f>
        <v>108142</v>
      </c>
      <c r="K278" s="27">
        <f>Dodatni!J65</f>
        <v>128572</v>
      </c>
    </row>
    <row r="279" spans="4:11" ht="12.75">
      <c r="D279" s="4" t="s">
        <v>555</v>
      </c>
      <c r="E279" s="4">
        <v>3</v>
      </c>
      <c r="F279" s="4">
        <f>Dodatni!H66</f>
        <v>278</v>
      </c>
      <c r="H279" s="26">
        <f t="shared" si="12"/>
        <v>22240</v>
      </c>
      <c r="I279" s="4">
        <f t="shared" si="13"/>
        <v>0</v>
      </c>
      <c r="J279" s="27">
        <f>Dodatni!I66</f>
        <v>8000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4194.4</v>
      </c>
      <c r="I281" s="4">
        <f t="shared" si="13"/>
        <v>0</v>
      </c>
      <c r="J281" s="27">
        <f>Dodatni!I68</f>
        <v>1118</v>
      </c>
      <c r="K281" s="27">
        <f>Dodatni!J68</f>
        <v>190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341510</v>
      </c>
      <c r="I285" s="4">
        <f aca="true" t="shared" si="15" ref="I285:I294">ABS(ROUND(J285,0)-J285)+ABS(ROUND(K285,0)-K285)</f>
        <v>0</v>
      </c>
      <c r="J285" s="27">
        <f>Dodatni!I73</f>
        <v>40220</v>
      </c>
      <c r="K285" s="27">
        <f>Dodatni!J73</f>
        <v>40015</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9661469.76</v>
      </c>
      <c r="I289" s="4">
        <f t="shared" si="15"/>
        <v>0</v>
      </c>
      <c r="J289" s="27">
        <f>Dodatni!I78</f>
        <v>1223543</v>
      </c>
      <c r="K289" s="27">
        <f>Dodatni!J78</f>
        <v>1065567</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470356.80000000005</v>
      </c>
      <c r="I291" s="4">
        <f t="shared" si="15"/>
        <v>0</v>
      </c>
      <c r="J291" s="27">
        <f>Dodatni!I80</f>
        <v>162192</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9322056.2</v>
      </c>
      <c r="I293" s="4">
        <f t="shared" si="15"/>
        <v>0</v>
      </c>
      <c r="J293" s="27">
        <f>Dodatni!I82</f>
        <v>1061351</v>
      </c>
      <c r="K293" s="27">
        <f>Dodatni!J82</f>
        <v>1065567</v>
      </c>
    </row>
    <row r="294" spans="4:11" ht="12.75">
      <c r="D294" s="4" t="s">
        <v>555</v>
      </c>
      <c r="E294" s="4">
        <v>3</v>
      </c>
      <c r="F294" s="4">
        <f>Dodatni!H83</f>
        <v>293</v>
      </c>
      <c r="H294" s="26">
        <f t="shared" si="14"/>
        <v>24770073.5</v>
      </c>
      <c r="I294" s="4">
        <f t="shared" si="15"/>
        <v>0</v>
      </c>
      <c r="J294" s="27">
        <f>Dodatni!I83</f>
        <v>0</v>
      </c>
      <c r="K294" s="27">
        <f>Dodatni!J83</f>
        <v>4226975</v>
      </c>
    </row>
    <row r="295" spans="4:11" ht="12.75">
      <c r="D295" s="4" t="s">
        <v>555</v>
      </c>
      <c r="E295" s="4">
        <v>3</v>
      </c>
      <c r="F295" s="4">
        <f>Dodatni!H84</f>
        <v>294</v>
      </c>
      <c r="H295" s="26">
        <f aca="true" t="shared" si="16" ref="H295:H301">J295/100*F295+2*K295/100*F295</f>
        <v>9862750.379999999</v>
      </c>
      <c r="I295" s="4">
        <f aca="true" t="shared" si="17" ref="I295:I301">ABS(ROUND(J295,0)-J295)+ABS(ROUND(K295,0)-K295)</f>
        <v>0</v>
      </c>
      <c r="J295" s="27">
        <f>Dodatni!I84</f>
        <v>1223543</v>
      </c>
      <c r="K295" s="27">
        <f>Dodatni!J84</f>
        <v>1065567</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104" activePane="bottomLeft" state="frozen"/>
      <selection pane="topLeft" activeCell="A1" sqref="A1"/>
      <selection pane="bottomLeft" activeCell="C111" sqref="C111:J11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REGIONALNI CENTAR ČISTOG OKOLIŠA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21000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54045399638</v>
      </c>
      <c r="V4" s="206" t="s">
        <v>2737</v>
      </c>
      <c r="W4" s="224" t="str">
        <f>RefStr!F31</f>
        <v>SPLIT</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0</v>
      </c>
      <c r="P5" s="207">
        <f>NT_I!Q2</f>
        <v>0</v>
      </c>
      <c r="Q5" s="224">
        <f>NT_I!Q3</f>
        <v>0</v>
      </c>
      <c r="R5" s="206" t="s">
        <v>2888</v>
      </c>
      <c r="S5" s="224">
        <f>IF(RefStr!C19&lt;&gt;"",IF(ISERROR(INT(RefStr!C19)),0,RefStr!C19),0)</f>
        <v>3</v>
      </c>
      <c r="T5" s="206" t="s">
        <v>1560</v>
      </c>
      <c r="U5" s="224" t="str">
        <f>RefStr!H27</f>
        <v>02372576</v>
      </c>
      <c r="V5" s="206" t="s">
        <v>2738</v>
      </c>
      <c r="W5" s="224" t="str">
        <f>RefStr!C33</f>
        <v>Vukovarska 148/b</v>
      </c>
      <c r="X5" s="226" t="s">
        <v>2929</v>
      </c>
      <c r="Y5" s="227" t="str">
        <f>RefStr!I62</f>
        <v>NE</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060207999</v>
      </c>
      <c r="V6" s="206" t="s">
        <v>2968</v>
      </c>
      <c r="W6" s="224" t="str">
        <f>RefStr!L35</f>
        <v>021/682821</v>
      </c>
      <c r="X6" s="206" t="s">
        <v>2926</v>
      </c>
      <c r="Y6" s="224" t="str">
        <f>RefStr!C68</f>
        <v>Sandra Capan</v>
      </c>
      <c r="Z6" s="206" t="s">
        <v>2952</v>
      </c>
      <c r="AA6" s="224">
        <f>RefStr!C46</f>
        <v>0</v>
      </c>
    </row>
    <row r="7" spans="1:27" ht="13.5" customHeight="1">
      <c r="A7" s="505"/>
      <c r="B7" s="506"/>
      <c r="C7" s="506"/>
      <c r="D7" s="506"/>
      <c r="E7" s="506"/>
      <c r="F7" s="506"/>
      <c r="G7" s="506"/>
      <c r="H7" s="506"/>
      <c r="I7" s="214" t="s">
        <v>211</v>
      </c>
      <c r="J7" s="216">
        <f>SUM(M12:M122)</f>
        <v>0</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INFO@RCCO.HR</v>
      </c>
      <c r="X7" s="206" t="s">
        <v>2927</v>
      </c>
      <c r="Y7" s="224" t="str">
        <f>RefStr!C70</f>
        <v>0911730000</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44562</v>
      </c>
      <c r="T8" s="206" t="s">
        <v>915</v>
      </c>
      <c r="U8" s="224" t="str">
        <f>RefStr!D7</f>
        <v>Društvo s ograničenom odgovornošću</v>
      </c>
      <c r="V8" s="206" t="s">
        <v>2974</v>
      </c>
      <c r="W8" s="224" t="str">
        <f>RefStr!C42</f>
        <v>3900</v>
      </c>
      <c r="X8" s="206" t="s">
        <v>2928</v>
      </c>
      <c r="Y8" s="224" t="str">
        <f>TRIM(UPPER(RefStr!C72))</f>
        <v>SANDRA.CAPAN@RCCO.HR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6</v>
      </c>
      <c r="Q9" s="223">
        <f>RefStr!F58</f>
        <v>6</v>
      </c>
      <c r="R9" s="206" t="s">
        <v>914</v>
      </c>
      <c r="S9" s="224">
        <f>IF(RefStr!F4&lt;&gt;"",RefStr!F4,0)</f>
        <v>44926</v>
      </c>
      <c r="T9" s="206" t="s">
        <v>891</v>
      </c>
      <c r="U9" s="224">
        <f>RefStr!C39</f>
        <v>409</v>
      </c>
      <c r="V9" s="206" t="s">
        <v>2951</v>
      </c>
      <c r="W9" s="224" t="str">
        <f>RefStr!D42</f>
        <v>Djelatnosti sanacije okoliša te ostale...</v>
      </c>
      <c r="X9" s="230" t="s">
        <v>1782</v>
      </c>
      <c r="Y9" s="231" t="str">
        <f>RefStr!I66</f>
        <v>DA</v>
      </c>
      <c r="Z9" s="228" t="s">
        <v>1781</v>
      </c>
      <c r="AA9" s="229" t="str">
        <f>RefStr!I64</f>
        <v>NE</v>
      </c>
    </row>
    <row r="10" spans="1:27" ht="13.5" customHeight="1">
      <c r="A10" s="516"/>
      <c r="B10" s="516"/>
      <c r="C10" s="516"/>
      <c r="D10" s="516"/>
      <c r="E10" s="516"/>
      <c r="F10" s="516"/>
      <c r="G10" s="516"/>
      <c r="H10" s="516"/>
      <c r="I10" s="516"/>
      <c r="J10" s="516"/>
      <c r="L10" s="190"/>
      <c r="M10" s="190"/>
      <c r="O10" s="222" t="s">
        <v>1998</v>
      </c>
      <c r="P10" s="208">
        <f>RefStr!C56</f>
        <v>8</v>
      </c>
      <c r="Q10" s="225">
        <f>RefStr!F56</f>
        <v>8</v>
      </c>
      <c r="R10" s="208" t="s">
        <v>917</v>
      </c>
      <c r="S10" s="225">
        <f>RefStr!C23</f>
        <v>1</v>
      </c>
      <c r="T10" s="208" t="s">
        <v>2973</v>
      </c>
      <c r="U10" s="225" t="str">
        <f>RefStr!D39</f>
        <v>Split</v>
      </c>
      <c r="V10" s="232"/>
      <c r="W10" s="233"/>
      <c r="X10" s="234" t="s">
        <v>2279</v>
      </c>
      <c r="Y10" s="235">
        <f>RefStr!F12</f>
        <v>2022</v>
      </c>
      <c r="Z10" s="208" t="s">
        <v>1771</v>
      </c>
      <c r="AA10" s="225" t="str">
        <f>RefStr!A75</f>
        <v>Ivan Vukorepa</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1</v>
      </c>
      <c r="R50" s="196">
        <f>IF(RDG!I60&gt;5200000,1,0)</f>
        <v>0</v>
      </c>
      <c r="S50" s="196">
        <f>IF(P10&gt;10,1,0)</f>
        <v>0</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1</v>
      </c>
      <c r="AF50" s="196">
        <f>IF(S9&gt;S8,IF(RDG!J60*365/(S9-S8)&gt;5200000,1,0),0)</f>
        <v>0</v>
      </c>
      <c r="AG50" s="196">
        <f>IF(Q10&gt;10,1,0)</f>
        <v>0</v>
      </c>
      <c r="AH50" s="196" t="s">
        <v>2256</v>
      </c>
      <c r="AI50" s="196">
        <f>IF(Bilanca!J73&gt;30000000,1,0)</f>
        <v>1</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1</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https://regicent-my.sharepoint.com/personal/sandra_capan_rcco_hr/Documents/Backup 10.6/MY DOCUMENTS v 10.6.22/GI - Godišnje izvješće i statistika/2022/GFI POD javna objava i statistika/Final/[GFI-POD RCČO 2022..xls]RDG</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0" activePane="bottomLeft" state="frozen"/>
      <selection pane="topLeft" activeCell="A1" sqref="A1"/>
      <selection pane="bottomLeft" activeCell="I68" sqref="I68"/>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2022</v>
      </c>
    </row>
    <row r="2" spans="1:17" s="144" customFormat="1" ht="54" customHeight="1">
      <c r="A2" s="346" t="s">
        <v>696</v>
      </c>
      <c r="B2" s="347"/>
      <c r="C2" s="347"/>
      <c r="D2" s="347"/>
      <c r="E2" s="347"/>
      <c r="F2" s="347"/>
      <c r="G2" s="347"/>
      <c r="H2" s="347"/>
      <c r="I2" s="347"/>
      <c r="J2" s="347"/>
      <c r="K2" s="347"/>
      <c r="L2" s="347"/>
      <c r="M2" s="347"/>
      <c r="N2" s="348"/>
      <c r="O2" s="3"/>
      <c r="P2" s="50"/>
      <c r="Q2" s="49">
        <f>IF(F4&lt;&gt;"",YEAR(F4),"")</f>
        <v>2022</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44562</v>
      </c>
      <c r="D4" s="345"/>
      <c r="E4" s="7" t="s">
        <v>560</v>
      </c>
      <c r="F4" s="344">
        <v>44926</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21.72</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57.22</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2022</v>
      </c>
      <c r="G12" s="370"/>
      <c r="H12" s="362" t="s">
        <v>1983</v>
      </c>
      <c r="I12" s="363"/>
      <c r="J12" s="363"/>
      <c r="K12" s="152"/>
      <c r="L12" s="152"/>
      <c r="M12" s="152"/>
      <c r="N12" s="152"/>
      <c r="P12" s="50" t="s">
        <v>1561</v>
      </c>
      <c r="Q12" s="51">
        <f>INT(VALUE(H27))/10</f>
        <v>237257.6</v>
      </c>
    </row>
    <row r="13" spans="4:17" ht="9.75" customHeight="1">
      <c r="D13" s="152"/>
      <c r="E13" s="158"/>
      <c r="H13" s="23"/>
      <c r="I13" s="159"/>
      <c r="J13" s="159"/>
      <c r="K13" s="152"/>
      <c r="L13" s="152"/>
      <c r="M13" s="152"/>
      <c r="N13" s="152"/>
      <c r="P13" s="50" t="s">
        <v>1561</v>
      </c>
      <c r="Q13" s="51">
        <f>INT(VALUE(M27))/50</f>
        <v>1204159.98</v>
      </c>
    </row>
    <row r="14" spans="1:17" ht="15">
      <c r="A14" s="377" t="s">
        <v>1312</v>
      </c>
      <c r="B14" s="377"/>
      <c r="C14" s="377"/>
      <c r="D14" s="160"/>
      <c r="E14" s="161"/>
      <c r="F14" s="375"/>
      <c r="G14" s="376"/>
      <c r="H14" s="376"/>
      <c r="I14" s="152"/>
      <c r="J14" s="367" t="s">
        <v>1978</v>
      </c>
      <c r="K14" s="368"/>
      <c r="L14" s="368"/>
      <c r="M14" s="368"/>
      <c r="N14" s="368"/>
      <c r="P14" s="50" t="s">
        <v>1316</v>
      </c>
      <c r="Q14" s="51">
        <f>INT(VALUE(C27))/100</f>
        <v>540453996.38</v>
      </c>
    </row>
    <row r="15" spans="1:17" ht="19.5" customHeight="1">
      <c r="A15" s="364">
        <f>Skriveni!B59</f>
        <v>1217924145.8800006</v>
      </c>
      <c r="B15" s="365"/>
      <c r="C15" s="366"/>
      <c r="D15" s="56"/>
      <c r="E15" s="56"/>
      <c r="F15" s="56"/>
      <c r="G15" s="56"/>
      <c r="H15" s="56"/>
      <c r="I15" s="56"/>
      <c r="J15" s="56"/>
      <c r="K15" s="56"/>
      <c r="L15" s="56"/>
      <c r="M15" s="56"/>
      <c r="N15" s="56"/>
      <c r="P15" s="50" t="s">
        <v>887</v>
      </c>
      <c r="Q15" s="51">
        <f>LEN(Skriveni!B9)</f>
        <v>39</v>
      </c>
    </row>
    <row r="16" spans="4:17" ht="12.75" customHeight="1">
      <c r="D16" s="56"/>
      <c r="E16" s="56"/>
      <c r="F16" s="56"/>
      <c r="G16" s="56"/>
      <c r="H16" s="56"/>
      <c r="I16" s="56"/>
      <c r="P16" s="50" t="s">
        <v>888</v>
      </c>
      <c r="Q16" s="51">
        <f>INT(VALUE(C31))/100</f>
        <v>210</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5</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3</v>
      </c>
      <c r="D19" s="380"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321"/>
      <c r="F19" s="321"/>
      <c r="G19" s="321"/>
      <c r="H19" s="321"/>
      <c r="I19" s="317" t="s">
        <v>198</v>
      </c>
      <c r="J19" s="379"/>
      <c r="K19" s="379"/>
      <c r="L19" s="379"/>
      <c r="M19" s="379"/>
      <c r="N19" s="32" t="s">
        <v>2994</v>
      </c>
      <c r="P19" s="50" t="s">
        <v>890</v>
      </c>
      <c r="Q19" s="51">
        <f>LEN(Skriveni!B12)</f>
        <v>16</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1237</v>
      </c>
      <c r="J21" s="378" t="s">
        <v>1988</v>
      </c>
      <c r="K21" s="379"/>
      <c r="L21" s="288"/>
      <c r="M21" s="319"/>
      <c r="N21" s="290"/>
      <c r="P21" s="50" t="s">
        <v>891</v>
      </c>
      <c r="Q21" s="51">
        <f>INT(VALUE(C39))</f>
        <v>409</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3900</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2982</v>
      </c>
      <c r="D27" s="289"/>
      <c r="E27" s="290"/>
      <c r="F27" s="280" t="s">
        <v>2787</v>
      </c>
      <c r="G27" s="307"/>
      <c r="H27" s="288" t="s">
        <v>2983</v>
      </c>
      <c r="I27" s="305"/>
      <c r="J27" s="280" t="s">
        <v>1977</v>
      </c>
      <c r="K27" s="281"/>
      <c r="L27" s="306"/>
      <c r="M27" s="288" t="s">
        <v>2984</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2985</v>
      </c>
      <c r="D29" s="303"/>
      <c r="E29" s="303"/>
      <c r="F29" s="303"/>
      <c r="G29" s="303"/>
      <c r="H29" s="303"/>
      <c r="I29" s="303"/>
      <c r="J29" s="303"/>
      <c r="K29" s="303"/>
      <c r="L29" s="304"/>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21000</v>
      </c>
      <c r="D31" s="328" t="s">
        <v>929</v>
      </c>
      <c r="E31" s="329"/>
      <c r="F31" s="302" t="s">
        <v>2986</v>
      </c>
      <c r="G31" s="330"/>
      <c r="H31" s="330"/>
      <c r="I31" s="330"/>
      <c r="J31" s="330"/>
      <c r="K31" s="330"/>
      <c r="L31" s="331"/>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2987</v>
      </c>
      <c r="D33" s="303"/>
      <c r="E33" s="303"/>
      <c r="F33" s="303"/>
      <c r="G33" s="303"/>
      <c r="H33" s="303"/>
      <c r="I33" s="303"/>
      <c r="J33" s="303"/>
      <c r="K33" s="303"/>
      <c r="L33" s="304"/>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2988</v>
      </c>
      <c r="D35" s="383"/>
      <c r="E35" s="383"/>
      <c r="F35" s="383"/>
      <c r="G35" s="383"/>
      <c r="H35" s="383"/>
      <c r="I35" s="384"/>
      <c r="J35" s="277" t="s">
        <v>1750</v>
      </c>
      <c r="K35" s="317"/>
      <c r="L35" s="288" t="s">
        <v>2989</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2990</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409</v>
      </c>
      <c r="D39" s="278" t="str">
        <f>IF(C39="","Upišite šifru grada/općine",IF(ISNA(LOOKUP(C39,A177:A732,A177:A732)),"Šifra grada/općine ne postoji",IF(LOOKUP(C39,A177:A732,A177:A732)&lt;&gt;C39,"Šifra grada/općine ne postoji",LOOKUP(C39,A177:A732,B177:B732))))</f>
        <v>Split</v>
      </c>
      <c r="E39" s="323"/>
      <c r="F39" s="323"/>
      <c r="G39" s="323"/>
      <c r="H39" s="287" t="s">
        <v>2109</v>
      </c>
      <c r="I39" s="306"/>
      <c r="J39" s="54">
        <f>IF(C39&gt;0,LOOKUP(C39,A177:A732,C177:C732),"")</f>
        <v>17</v>
      </c>
      <c r="K39" s="332" t="str">
        <f>IF(J39="","Upišite šifru grada/općine",LOOKUP(J39,A153:A173,B153:B173))</f>
        <v>SPLITSKO-DALMATINSKA</v>
      </c>
      <c r="L39" s="332"/>
      <c r="M39" s="332"/>
      <c r="N39" s="332"/>
      <c r="P39" s="50" t="s">
        <v>896</v>
      </c>
      <c r="Q39" s="51">
        <f>C56+2*F56+3*C58+4*F58</f>
        <v>66</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1476</v>
      </c>
      <c r="D42" s="320" t="str">
        <f>IF(C42="","Upišite šifru razreda glavne djelatnosti",IF(ISNA(LOOKUP(C42,A736:A1351,A736:A1351)),"Šifra NKD-a ne postoji",IF(LOOKUP(C42,A736:A1351,A736:A1351)&lt;&gt;C42,"Šifra NKD-a ne postoji",LOOKUP(C42,A736:A1351,B736:B1351))))</f>
        <v>Djelatnosti sanacije okoliša te ostale...</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13</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1</v>
      </c>
      <c r="D50" s="274" t="str">
        <f>IF(C50="","Upišite oznaku veličine",IF(ISNA(LOOKUP(C50,A124:A127,A124:A127)),"Nepostojeća oznaka veličine",IF(LOOKUP(C50,A124:A127,A124:A127)&lt;&gt;C50,"Nepostojeća oznaka veličine",LOOKUP(C50,A124:A127,B124:B127))))</f>
        <v>Mikro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DA</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8</v>
      </c>
      <c r="D56" s="326" t="s">
        <v>2653</v>
      </c>
      <c r="E56" s="327"/>
      <c r="F56" s="40">
        <v>8</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6</v>
      </c>
      <c r="D58" s="314" t="s">
        <v>2653</v>
      </c>
      <c r="E58" s="314"/>
      <c r="F58" s="40">
        <v>6</v>
      </c>
      <c r="G58" s="314" t="s">
        <v>2654</v>
      </c>
      <c r="H58" s="314"/>
      <c r="I58" s="5" t="str">
        <f>IF(OR(NT_I!Q1&lt;&gt;0,NT_D!Q1&lt;&gt;0),"DA","NE")</f>
        <v>NE</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NE</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1237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1237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2991</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2992</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2993</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2995</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65"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31.12.2022.</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54045399638; REGIONALNI CENTAR ČISTOG OKOLIŠA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c r="I10" s="66">
        <f>I11+I18+I28+I39+I44</f>
        <v>19663676</v>
      </c>
      <c r="J10" s="66">
        <f>J11+J18+J28+J39+J44</f>
        <v>24766228</v>
      </c>
    </row>
    <row r="11" spans="1:10" ht="13.5" customHeight="1">
      <c r="A11" s="386" t="s">
        <v>904</v>
      </c>
      <c r="B11" s="386"/>
      <c r="C11" s="386"/>
      <c r="D11" s="386"/>
      <c r="E11" s="386"/>
      <c r="F11" s="386"/>
      <c r="G11" s="15">
        <v>3</v>
      </c>
      <c r="H11" s="16"/>
      <c r="I11" s="66">
        <f>SUM(I12:I17)</f>
        <v>14491698</v>
      </c>
      <c r="J11" s="66">
        <f>SUM(J12:J17)</f>
        <v>15242574</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f>879158-449616</f>
        <v>429542</v>
      </c>
      <c r="J13" s="67">
        <f>879158-581242</f>
        <v>297916</v>
      </c>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v>14062156</v>
      </c>
      <c r="J16" s="67">
        <f>14944659-1</f>
        <v>14944658</v>
      </c>
    </row>
    <row r="17" spans="1:10" ht="13.5" customHeight="1">
      <c r="A17" s="385" t="s">
        <v>1891</v>
      </c>
      <c r="B17" s="385"/>
      <c r="C17" s="385"/>
      <c r="D17" s="385"/>
      <c r="E17" s="385"/>
      <c r="F17" s="385"/>
      <c r="G17" s="15">
        <v>9</v>
      </c>
      <c r="H17" s="16"/>
      <c r="I17" s="67"/>
      <c r="J17" s="67"/>
    </row>
    <row r="18" spans="1:10" ht="13.5" customHeight="1">
      <c r="A18" s="386" t="s">
        <v>965</v>
      </c>
      <c r="B18" s="386"/>
      <c r="C18" s="386"/>
      <c r="D18" s="386"/>
      <c r="E18" s="386"/>
      <c r="F18" s="386"/>
      <c r="G18" s="15">
        <v>10</v>
      </c>
      <c r="H18" s="16"/>
      <c r="I18" s="66">
        <f>SUM(I19:I27)</f>
        <v>5171978</v>
      </c>
      <c r="J18" s="66">
        <f>SUM(J19:J27)</f>
        <v>9523654</v>
      </c>
    </row>
    <row r="19" spans="1:10" ht="13.5" customHeight="1">
      <c r="A19" s="385" t="s">
        <v>733</v>
      </c>
      <c r="B19" s="385"/>
      <c r="C19" s="385"/>
      <c r="D19" s="385"/>
      <c r="E19" s="385"/>
      <c r="F19" s="385"/>
      <c r="G19" s="15">
        <v>11</v>
      </c>
      <c r="H19" s="16"/>
      <c r="I19" s="67"/>
      <c r="J19" s="67"/>
    </row>
    <row r="20" spans="1:10" ht="13.5" customHeight="1">
      <c r="A20" s="385" t="s">
        <v>796</v>
      </c>
      <c r="B20" s="385"/>
      <c r="C20" s="385"/>
      <c r="D20" s="385"/>
      <c r="E20" s="385"/>
      <c r="F20" s="385"/>
      <c r="G20" s="15">
        <v>12</v>
      </c>
      <c r="H20" s="16"/>
      <c r="I20" s="67"/>
      <c r="J20" s="67"/>
    </row>
    <row r="21" spans="1:10" ht="13.5" customHeight="1">
      <c r="A21" s="385" t="s">
        <v>734</v>
      </c>
      <c r="B21" s="385"/>
      <c r="C21" s="385"/>
      <c r="D21" s="385"/>
      <c r="E21" s="385"/>
      <c r="F21" s="385"/>
      <c r="G21" s="15">
        <v>13</v>
      </c>
      <c r="H21" s="16"/>
      <c r="I21" s="67">
        <f>383689+125064-320208</f>
        <v>188545</v>
      </c>
      <c r="J21" s="67">
        <f>383689+125064-378571</f>
        <v>130182</v>
      </c>
    </row>
    <row r="22" spans="1:10" ht="13.5" customHeight="1">
      <c r="A22" s="385" t="s">
        <v>405</v>
      </c>
      <c r="B22" s="385"/>
      <c r="C22" s="385"/>
      <c r="D22" s="385"/>
      <c r="E22" s="385"/>
      <c r="F22" s="385"/>
      <c r="G22" s="15">
        <v>14</v>
      </c>
      <c r="H22" s="16"/>
      <c r="I22" s="67"/>
      <c r="J22" s="67"/>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v>4752222</v>
      </c>
      <c r="J24" s="67">
        <v>4935286</v>
      </c>
    </row>
    <row r="25" spans="1:10" ht="13.5" customHeight="1">
      <c r="A25" s="385" t="s">
        <v>2692</v>
      </c>
      <c r="B25" s="385"/>
      <c r="C25" s="385"/>
      <c r="D25" s="385"/>
      <c r="E25" s="385"/>
      <c r="F25" s="385"/>
      <c r="G25" s="15">
        <v>17</v>
      </c>
      <c r="H25" s="16"/>
      <c r="I25" s="67">
        <v>231211</v>
      </c>
      <c r="J25" s="67">
        <v>4458186</v>
      </c>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c r="I27" s="67"/>
      <c r="J27" s="67"/>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8169518</v>
      </c>
      <c r="J45" s="66">
        <f>J46+J54+J61+J71</f>
        <v>11642214</v>
      </c>
    </row>
    <row r="46" spans="1:10" ht="13.5" customHeight="1">
      <c r="A46" s="386" t="s">
        <v>1264</v>
      </c>
      <c r="B46" s="386"/>
      <c r="C46" s="386"/>
      <c r="D46" s="386"/>
      <c r="E46" s="386"/>
      <c r="F46" s="386"/>
      <c r="G46" s="15">
        <v>38</v>
      </c>
      <c r="H46" s="16"/>
      <c r="I46" s="66">
        <f>SUM(I47:I53)</f>
        <v>0</v>
      </c>
      <c r="J46" s="66">
        <f>SUM(J47:J53)</f>
        <v>0</v>
      </c>
    </row>
    <row r="47" spans="1:10" ht="13.5" customHeight="1">
      <c r="A47" s="385" t="s">
        <v>1892</v>
      </c>
      <c r="B47" s="385"/>
      <c r="C47" s="385"/>
      <c r="D47" s="385"/>
      <c r="E47" s="385"/>
      <c r="F47" s="385"/>
      <c r="G47" s="15">
        <v>39</v>
      </c>
      <c r="H47" s="16"/>
      <c r="I47" s="67"/>
      <c r="J47" s="67"/>
    </row>
    <row r="48" spans="1:10" ht="13.5" customHeight="1">
      <c r="A48" s="385" t="s">
        <v>1893</v>
      </c>
      <c r="B48" s="385"/>
      <c r="C48" s="385"/>
      <c r="D48" s="385"/>
      <c r="E48" s="385"/>
      <c r="F48" s="385"/>
      <c r="G48" s="15">
        <v>40</v>
      </c>
      <c r="H48" s="16"/>
      <c r="I48" s="67"/>
      <c r="J48" s="67"/>
    </row>
    <row r="49" spans="1:10" ht="13.5" customHeight="1">
      <c r="A49" s="385" t="s">
        <v>1894</v>
      </c>
      <c r="B49" s="385"/>
      <c r="C49" s="385"/>
      <c r="D49" s="385"/>
      <c r="E49" s="385"/>
      <c r="F49" s="385"/>
      <c r="G49" s="15">
        <v>41</v>
      </c>
      <c r="H49" s="16"/>
      <c r="I49" s="67"/>
      <c r="J49" s="67"/>
    </row>
    <row r="50" spans="1:10" ht="13.5" customHeight="1">
      <c r="A50" s="385" t="s">
        <v>1895</v>
      </c>
      <c r="B50" s="385"/>
      <c r="C50" s="385"/>
      <c r="D50" s="385"/>
      <c r="E50" s="385"/>
      <c r="F50" s="385"/>
      <c r="G50" s="15">
        <v>42</v>
      </c>
      <c r="H50" s="16"/>
      <c r="I50" s="67"/>
      <c r="J50" s="67"/>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552332</v>
      </c>
      <c r="J54" s="66">
        <f>SUM(J55:J60)</f>
        <v>1146139</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c r="I57" s="67"/>
      <c r="J57" s="67"/>
    </row>
    <row r="58" spans="1:10" ht="13.5" customHeight="1">
      <c r="A58" s="385" t="s">
        <v>2009</v>
      </c>
      <c r="B58" s="385"/>
      <c r="C58" s="385"/>
      <c r="D58" s="385"/>
      <c r="E58" s="385"/>
      <c r="F58" s="385"/>
      <c r="G58" s="15">
        <v>50</v>
      </c>
      <c r="H58" s="16"/>
      <c r="I58" s="67"/>
      <c r="J58" s="67"/>
    </row>
    <row r="59" spans="1:10" ht="13.5" customHeight="1">
      <c r="A59" s="385" t="s">
        <v>2010</v>
      </c>
      <c r="B59" s="385"/>
      <c r="C59" s="385"/>
      <c r="D59" s="385"/>
      <c r="E59" s="385"/>
      <c r="F59" s="385"/>
      <c r="G59" s="15">
        <v>51</v>
      </c>
      <c r="H59" s="16"/>
      <c r="I59" s="67">
        <f>21973+39119+10459</f>
        <v>71551</v>
      </c>
      <c r="J59" s="67">
        <f>191614+2204+182587+251893</f>
        <v>628298</v>
      </c>
    </row>
    <row r="60" spans="1:10" ht="13.5" customHeight="1">
      <c r="A60" s="385" t="s">
        <v>1255</v>
      </c>
      <c r="B60" s="385"/>
      <c r="C60" s="385"/>
      <c r="D60" s="385"/>
      <c r="E60" s="385"/>
      <c r="F60" s="385"/>
      <c r="G60" s="15">
        <v>52</v>
      </c>
      <c r="H60" s="16"/>
      <c r="I60" s="67">
        <f>477841+2940</f>
        <v>480781</v>
      </c>
      <c r="J60" s="67">
        <v>517841</v>
      </c>
    </row>
    <row r="61" spans="1:10" ht="13.5" customHeight="1">
      <c r="A61" s="386" t="s">
        <v>1266</v>
      </c>
      <c r="B61" s="386"/>
      <c r="C61" s="386"/>
      <c r="D61" s="386"/>
      <c r="E61" s="386"/>
      <c r="F61" s="386"/>
      <c r="G61" s="15">
        <v>53</v>
      </c>
      <c r="H61" s="16"/>
      <c r="I61" s="66">
        <f>SUM(I62:I70)</f>
        <v>1000000</v>
      </c>
      <c r="J61" s="66">
        <f>SUM(J62:J70)</f>
        <v>1000000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v>1000000</v>
      </c>
      <c r="J69" s="67">
        <v>1000000</v>
      </c>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c r="I71" s="67">
        <f>6614946+2240</f>
        <v>6617186</v>
      </c>
      <c r="J71" s="67">
        <f>9495959+116</f>
        <v>9496075</v>
      </c>
    </row>
    <row r="72" spans="1:10" ht="24.75" customHeight="1">
      <c r="A72" s="387" t="s">
        <v>591</v>
      </c>
      <c r="B72" s="387"/>
      <c r="C72" s="387"/>
      <c r="D72" s="387"/>
      <c r="E72" s="387"/>
      <c r="F72" s="387"/>
      <c r="G72" s="15">
        <v>64</v>
      </c>
      <c r="H72" s="16"/>
      <c r="I72" s="67"/>
      <c r="J72" s="67">
        <v>3357</v>
      </c>
    </row>
    <row r="73" spans="1:10" ht="13.5" customHeight="1">
      <c r="A73" s="387" t="s">
        <v>1267</v>
      </c>
      <c r="B73" s="387"/>
      <c r="C73" s="387"/>
      <c r="D73" s="387"/>
      <c r="E73" s="387"/>
      <c r="F73" s="387"/>
      <c r="G73" s="15">
        <v>65</v>
      </c>
      <c r="H73" s="16"/>
      <c r="I73" s="66">
        <f>I9+I10+I45+I72</f>
        <v>27833194</v>
      </c>
      <c r="J73" s="66">
        <f>J9+J10+J45+J72</f>
        <v>36411799</v>
      </c>
    </row>
    <row r="74" spans="1:10" ht="13.5" customHeight="1">
      <c r="A74" s="388" t="s">
        <v>1004</v>
      </c>
      <c r="B74" s="388"/>
      <c r="C74" s="388"/>
      <c r="D74" s="388"/>
      <c r="E74" s="388"/>
      <c r="F74" s="388"/>
      <c r="G74" s="17">
        <v>66</v>
      </c>
      <c r="H74" s="18"/>
      <c r="I74" s="68">
        <f>9000000+2699688</f>
        <v>11699688</v>
      </c>
      <c r="J74" s="68">
        <f>10379731+18281400</f>
        <v>28661131</v>
      </c>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22296127</v>
      </c>
      <c r="J76" s="66">
        <f>J77+J78+J79+J85+J86+J92+J95+J98</f>
        <v>29807559</v>
      </c>
      <c r="L76" s="2" t="s">
        <v>1209</v>
      </c>
    </row>
    <row r="77" spans="1:10" ht="13.5" customHeight="1">
      <c r="A77" s="386" t="s">
        <v>1857</v>
      </c>
      <c r="B77" s="386"/>
      <c r="C77" s="386"/>
      <c r="D77" s="386"/>
      <c r="E77" s="386"/>
      <c r="F77" s="386"/>
      <c r="G77" s="15">
        <v>68</v>
      </c>
      <c r="H77" s="16"/>
      <c r="I77" s="67">
        <v>23570000</v>
      </c>
      <c r="J77" s="67">
        <v>51582200</v>
      </c>
    </row>
    <row r="78" spans="1:12" ht="13.5" customHeight="1">
      <c r="A78" s="386" t="s">
        <v>1858</v>
      </c>
      <c r="B78" s="386"/>
      <c r="C78" s="386"/>
      <c r="D78" s="386"/>
      <c r="E78" s="386"/>
      <c r="F78" s="386"/>
      <c r="G78" s="15">
        <v>69</v>
      </c>
      <c r="H78" s="16"/>
      <c r="I78" s="67">
        <v>18012281</v>
      </c>
      <c r="J78" s="67">
        <v>81</v>
      </c>
      <c r="L78" s="2" t="s">
        <v>1209</v>
      </c>
    </row>
    <row r="79" spans="1:12" ht="13.5" customHeight="1">
      <c r="A79" s="386" t="s">
        <v>673</v>
      </c>
      <c r="B79" s="386"/>
      <c r="C79" s="386"/>
      <c r="D79" s="386"/>
      <c r="E79" s="386"/>
      <c r="F79" s="386"/>
      <c r="G79" s="15">
        <v>70</v>
      </c>
      <c r="H79" s="16"/>
      <c r="I79" s="66">
        <f>I80+I81-I82+I83+I84</f>
        <v>0</v>
      </c>
      <c r="J79" s="66">
        <f>J80+J81-J82+J83+J84</f>
        <v>0</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c r="I84" s="67"/>
      <c r="J84" s="67"/>
      <c r="L84" s="2" t="s">
        <v>1209</v>
      </c>
    </row>
    <row r="85" spans="1:12" ht="13.5" customHeight="1">
      <c r="A85" s="386" t="s">
        <v>2405</v>
      </c>
      <c r="B85" s="386"/>
      <c r="C85" s="386"/>
      <c r="D85" s="386"/>
      <c r="E85" s="386"/>
      <c r="F85" s="386"/>
      <c r="G85" s="15">
        <v>76</v>
      </c>
      <c r="H85" s="16"/>
      <c r="I85" s="67"/>
      <c r="J85" s="67"/>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c r="I92" s="66">
        <f>I93-I94</f>
        <v>-16711033</v>
      </c>
      <c r="J92" s="66">
        <f>J93-J94</f>
        <v>-19286153</v>
      </c>
      <c r="L92" s="2" t="s">
        <v>1209</v>
      </c>
    </row>
    <row r="93" spans="1:10" ht="13.5" customHeight="1">
      <c r="A93" s="385" t="s">
        <v>2830</v>
      </c>
      <c r="B93" s="385"/>
      <c r="C93" s="385"/>
      <c r="D93" s="385"/>
      <c r="E93" s="385"/>
      <c r="F93" s="385"/>
      <c r="G93" s="15">
        <v>84</v>
      </c>
      <c r="H93" s="16"/>
      <c r="I93" s="67"/>
      <c r="J93" s="67"/>
    </row>
    <row r="94" spans="1:10" ht="13.5" customHeight="1">
      <c r="A94" s="385" t="s">
        <v>2831</v>
      </c>
      <c r="B94" s="385"/>
      <c r="C94" s="385"/>
      <c r="D94" s="385"/>
      <c r="E94" s="385"/>
      <c r="F94" s="385"/>
      <c r="G94" s="15">
        <v>85</v>
      </c>
      <c r="H94" s="16"/>
      <c r="I94" s="67">
        <v>16711033</v>
      </c>
      <c r="J94" s="67">
        <v>19286153</v>
      </c>
    </row>
    <row r="95" spans="1:12" ht="13.5" customHeight="1">
      <c r="A95" s="386" t="s">
        <v>2487</v>
      </c>
      <c r="B95" s="386"/>
      <c r="C95" s="386"/>
      <c r="D95" s="386"/>
      <c r="E95" s="386"/>
      <c r="F95" s="386"/>
      <c r="G95" s="15">
        <v>86</v>
      </c>
      <c r="H95" s="16"/>
      <c r="I95" s="66">
        <f>I96-I97</f>
        <v>-2575121</v>
      </c>
      <c r="J95" s="66">
        <f>J96-J97</f>
        <v>-2488569</v>
      </c>
      <c r="L95" s="2" t="s">
        <v>1209</v>
      </c>
    </row>
    <row r="96" spans="1:10" ht="13.5" customHeight="1">
      <c r="A96" s="385" t="s">
        <v>1257</v>
      </c>
      <c r="B96" s="385"/>
      <c r="C96" s="385"/>
      <c r="D96" s="385"/>
      <c r="E96" s="385"/>
      <c r="F96" s="385"/>
      <c r="G96" s="15">
        <v>87</v>
      </c>
      <c r="H96" s="16"/>
      <c r="I96" s="67"/>
      <c r="J96" s="67"/>
    </row>
    <row r="97" spans="1:10" ht="13.5" customHeight="1">
      <c r="A97" s="385" t="s">
        <v>2832</v>
      </c>
      <c r="B97" s="385"/>
      <c r="C97" s="385"/>
      <c r="D97" s="385"/>
      <c r="E97" s="385"/>
      <c r="F97" s="385"/>
      <c r="G97" s="15">
        <v>88</v>
      </c>
      <c r="H97" s="16"/>
      <c r="I97" s="67">
        <v>2575121</v>
      </c>
      <c r="J97" s="67">
        <v>2488569</v>
      </c>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c r="I99" s="66">
        <f>SUM(I100:I105)</f>
        <v>0</v>
      </c>
      <c r="J99" s="66">
        <f>SUM(J100:J105)</f>
        <v>0</v>
      </c>
    </row>
    <row r="100" spans="1:10" ht="13.5" customHeight="1">
      <c r="A100" s="385" t="s">
        <v>0</v>
      </c>
      <c r="B100" s="385"/>
      <c r="C100" s="385"/>
      <c r="D100" s="385"/>
      <c r="E100" s="385"/>
      <c r="F100" s="385"/>
      <c r="G100" s="15">
        <v>91</v>
      </c>
      <c r="H100" s="16"/>
      <c r="I100" s="67"/>
      <c r="J100" s="67"/>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c r="I106" s="66">
        <f>SUM(I107:I117)</f>
        <v>0</v>
      </c>
      <c r="J106" s="66">
        <f>SUM(J107:J117)</f>
        <v>0</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c r="I112" s="67"/>
      <c r="J112" s="67"/>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563651</v>
      </c>
      <c r="J118" s="66">
        <f>SUM(J119:J132)</f>
        <v>1128156</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v>377000</v>
      </c>
      <c r="J122" s="67">
        <v>377000</v>
      </c>
    </row>
    <row r="123" spans="1:10" ht="13.5" customHeight="1">
      <c r="A123" s="385" t="s">
        <v>2020</v>
      </c>
      <c r="B123" s="385"/>
      <c r="C123" s="385"/>
      <c r="D123" s="385"/>
      <c r="E123" s="385"/>
      <c r="F123" s="385"/>
      <c r="G123" s="15">
        <v>114</v>
      </c>
      <c r="H123" s="16"/>
      <c r="I123" s="67"/>
      <c r="J123" s="67"/>
    </row>
    <row r="124" spans="1:10" ht="13.5" customHeight="1">
      <c r="A124" s="385" t="s">
        <v>2021</v>
      </c>
      <c r="B124" s="385"/>
      <c r="C124" s="385"/>
      <c r="D124" s="385"/>
      <c r="E124" s="385"/>
      <c r="F124" s="385"/>
      <c r="G124" s="15">
        <v>115</v>
      </c>
      <c r="H124" s="16"/>
      <c r="I124" s="67"/>
      <c r="J124" s="67"/>
    </row>
    <row r="125" spans="1:10" ht="13.5" customHeight="1">
      <c r="A125" s="385" t="s">
        <v>2016</v>
      </c>
      <c r="B125" s="385"/>
      <c r="C125" s="385"/>
      <c r="D125" s="385"/>
      <c r="E125" s="385"/>
      <c r="F125" s="385"/>
      <c r="G125" s="15">
        <v>116</v>
      </c>
      <c r="H125" s="16"/>
      <c r="I125" s="67"/>
      <c r="J125" s="67"/>
    </row>
    <row r="126" spans="1:10" ht="13.5" customHeight="1">
      <c r="A126" s="385" t="s">
        <v>2017</v>
      </c>
      <c r="B126" s="385"/>
      <c r="C126" s="385"/>
      <c r="D126" s="385"/>
      <c r="E126" s="385"/>
      <c r="F126" s="385"/>
      <c r="G126" s="15">
        <v>117</v>
      </c>
      <c r="H126" s="16"/>
      <c r="I126" s="67">
        <f>48702+5500</f>
        <v>54202</v>
      </c>
      <c r="J126" s="67">
        <f>377167+189500</f>
        <v>566667</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c r="I128" s="67">
        <v>74461</v>
      </c>
      <c r="J128" s="67">
        <v>75309</v>
      </c>
    </row>
    <row r="129" spans="1:10" ht="13.5" customHeight="1">
      <c r="A129" s="385" t="s">
        <v>2023</v>
      </c>
      <c r="B129" s="385"/>
      <c r="C129" s="385"/>
      <c r="D129" s="385"/>
      <c r="E129" s="385"/>
      <c r="F129" s="385"/>
      <c r="G129" s="15">
        <v>120</v>
      </c>
      <c r="H129" s="16"/>
      <c r="I129" s="67">
        <f>12450+6000+39538</f>
        <v>57988</v>
      </c>
      <c r="J129" s="67">
        <f>6000+47375+14199+41606</f>
        <v>109180</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c r="I132" s="67"/>
      <c r="J132" s="67"/>
    </row>
    <row r="133" spans="1:10" ht="24.75" customHeight="1">
      <c r="A133" s="387" t="s">
        <v>593</v>
      </c>
      <c r="B133" s="387"/>
      <c r="C133" s="387"/>
      <c r="D133" s="387"/>
      <c r="E133" s="387"/>
      <c r="F133" s="387"/>
      <c r="G133" s="15">
        <v>124</v>
      </c>
      <c r="H133" s="16"/>
      <c r="I133" s="67">
        <v>4973416</v>
      </c>
      <c r="J133" s="67">
        <v>5476084</v>
      </c>
    </row>
    <row r="134" spans="1:10" ht="13.5" customHeight="1">
      <c r="A134" s="387" t="s">
        <v>360</v>
      </c>
      <c r="B134" s="387"/>
      <c r="C134" s="387"/>
      <c r="D134" s="387"/>
      <c r="E134" s="387"/>
      <c r="F134" s="387"/>
      <c r="G134" s="15">
        <v>125</v>
      </c>
      <c r="H134" s="16"/>
      <c r="I134" s="66">
        <f>I76+I99+I106+I118+I133</f>
        <v>27833194</v>
      </c>
      <c r="J134" s="66">
        <f>J76+J99+J106+J118+J133</f>
        <v>36411799</v>
      </c>
    </row>
    <row r="135" spans="1:10" ht="13.5" customHeight="1">
      <c r="A135" s="388" t="s">
        <v>1512</v>
      </c>
      <c r="B135" s="388"/>
      <c r="C135" s="388"/>
      <c r="D135" s="388"/>
      <c r="E135" s="388"/>
      <c r="F135" s="388"/>
      <c r="G135" s="17">
        <v>126</v>
      </c>
      <c r="H135" s="18"/>
      <c r="I135" s="68">
        <v>11699688</v>
      </c>
      <c r="J135" s="68">
        <f>10379731+18281400</f>
        <v>28661131</v>
      </c>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51" activePane="bottomLeft" state="frozen"/>
      <selection pane="topLeft" activeCell="A1" sqref="A1"/>
      <selection pane="bottomLeft" activeCell="J26" sqref="J26"/>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18"/>
      <c r="C2" s="418"/>
      <c r="D2" s="418"/>
      <c r="E2" s="418"/>
      <c r="F2" s="418"/>
      <c r="G2" s="418"/>
      <c r="H2" s="418"/>
      <c r="I2" s="419"/>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01.01.2022. do 31.12.2022.</v>
      </c>
      <c r="B3" s="420"/>
      <c r="C3" s="420"/>
      <c r="D3" s="420"/>
      <c r="E3" s="420"/>
      <c r="F3" s="420"/>
      <c r="G3" s="420"/>
      <c r="H3" s="420"/>
      <c r="I3" s="421"/>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5" t="str">
        <f>"Obveznik: "&amp;IF(RefStr!C27&lt;&gt;"",RefStr!C27,"________")&amp;"; "&amp;IF(RefStr!C29&lt;&gt;"",RefStr!C29,"________________________________________________________"&amp;"; "&amp;IF(RefStr!F31&lt;&gt;"",RefStr!F31,"_______________"))</f>
        <v>Obveznik: 54045399638; REGIONALNI CENTAR ČISTOG OKOLIŠA d.o.o.</v>
      </c>
      <c r="B5" s="416"/>
      <c r="C5" s="416"/>
      <c r="D5" s="416"/>
      <c r="E5" s="416"/>
      <c r="F5" s="416"/>
      <c r="G5" s="416"/>
      <c r="H5" s="416"/>
      <c r="I5" s="416"/>
      <c r="J5" s="417"/>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264802</v>
      </c>
      <c r="J8" s="80">
        <f>SUM(J9:J13)</f>
        <v>650620</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c r="I10" s="67">
        <v>200</v>
      </c>
      <c r="J10" s="67">
        <v>600</v>
      </c>
    </row>
    <row r="11" spans="1:10" s="2" customFormat="1" ht="14.25" customHeight="1">
      <c r="A11" s="385" t="s">
        <v>1086</v>
      </c>
      <c r="B11" s="385"/>
      <c r="C11" s="385"/>
      <c r="D11" s="385"/>
      <c r="E11" s="385"/>
      <c r="F11" s="385"/>
      <c r="G11" s="15">
        <v>130</v>
      </c>
      <c r="H11" s="16"/>
      <c r="I11" s="67"/>
      <c r="J11" s="67">
        <v>11256</v>
      </c>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c r="I13" s="67">
        <f>25000+239602</f>
        <v>264602</v>
      </c>
      <c r="J13" s="67">
        <f>1114+637650</f>
        <v>638764</v>
      </c>
    </row>
    <row r="14" spans="1:10" s="2" customFormat="1" ht="14.25" customHeight="1">
      <c r="A14" s="387" t="s">
        <v>2492</v>
      </c>
      <c r="B14" s="387"/>
      <c r="C14" s="387"/>
      <c r="D14" s="387"/>
      <c r="E14" s="387"/>
      <c r="F14" s="387"/>
      <c r="G14" s="15">
        <v>133</v>
      </c>
      <c r="H14" s="16"/>
      <c r="I14" s="66">
        <f>I15+I16+I20+I24+I25+I26+I29+I36</f>
        <v>2880143</v>
      </c>
      <c r="J14" s="66">
        <f>J15+J16+J20+J24+J25+J26+J29+J36</f>
        <v>3179204</v>
      </c>
    </row>
    <row r="15" spans="1:12" s="2" customFormat="1" ht="14.25" customHeight="1">
      <c r="A15" s="385" t="s">
        <v>1005</v>
      </c>
      <c r="B15" s="385"/>
      <c r="C15" s="385"/>
      <c r="D15" s="385"/>
      <c r="E15" s="385"/>
      <c r="F15" s="385"/>
      <c r="G15" s="15">
        <v>134</v>
      </c>
      <c r="H15" s="16"/>
      <c r="I15" s="67"/>
      <c r="J15" s="67"/>
      <c r="L15" s="2" t="s">
        <v>1209</v>
      </c>
    </row>
    <row r="16" spans="1:10" s="2" customFormat="1" ht="14.25" customHeight="1">
      <c r="A16" s="385" t="s">
        <v>2493</v>
      </c>
      <c r="B16" s="385"/>
      <c r="C16" s="385"/>
      <c r="D16" s="385"/>
      <c r="E16" s="385"/>
      <c r="F16" s="385"/>
      <c r="G16" s="15">
        <v>135</v>
      </c>
      <c r="H16" s="16"/>
      <c r="I16" s="66">
        <f>SUM(I17:I19)</f>
        <v>1049140</v>
      </c>
      <c r="J16" s="66">
        <f>SUM(J17:J19)</f>
        <v>1371748</v>
      </c>
    </row>
    <row r="17" spans="1:10" s="2" customFormat="1" ht="14.25" customHeight="1">
      <c r="A17" s="414" t="s">
        <v>1273</v>
      </c>
      <c r="B17" s="414"/>
      <c r="C17" s="414"/>
      <c r="D17" s="414"/>
      <c r="E17" s="414"/>
      <c r="F17" s="414"/>
      <c r="G17" s="15">
        <v>136</v>
      </c>
      <c r="H17" s="16"/>
      <c r="I17" s="67">
        <v>36734</v>
      </c>
      <c r="J17" s="67">
        <v>60681</v>
      </c>
    </row>
    <row r="18" spans="1:10" s="2" customFormat="1" ht="14.25" customHeight="1">
      <c r="A18" s="414" t="s">
        <v>1274</v>
      </c>
      <c r="B18" s="414"/>
      <c r="C18" s="414"/>
      <c r="D18" s="414"/>
      <c r="E18" s="414"/>
      <c r="F18" s="414"/>
      <c r="G18" s="15">
        <v>137</v>
      </c>
      <c r="H18" s="16"/>
      <c r="I18" s="67"/>
      <c r="J18" s="67"/>
    </row>
    <row r="19" spans="1:10" s="2" customFormat="1" ht="14.25" customHeight="1">
      <c r="A19" s="414" t="s">
        <v>2959</v>
      </c>
      <c r="B19" s="414"/>
      <c r="C19" s="414"/>
      <c r="D19" s="414"/>
      <c r="E19" s="414"/>
      <c r="F19" s="414"/>
      <c r="G19" s="15">
        <v>138</v>
      </c>
      <c r="H19" s="16"/>
      <c r="I19" s="67">
        <v>1012406</v>
      </c>
      <c r="J19" s="67">
        <v>1311067</v>
      </c>
    </row>
    <row r="20" spans="1:10" s="2" customFormat="1" ht="14.25" customHeight="1">
      <c r="A20" s="385" t="s">
        <v>2494</v>
      </c>
      <c r="B20" s="385"/>
      <c r="C20" s="385"/>
      <c r="D20" s="385"/>
      <c r="E20" s="385"/>
      <c r="F20" s="385"/>
      <c r="G20" s="15">
        <v>139</v>
      </c>
      <c r="H20" s="16"/>
      <c r="I20" s="66">
        <f>SUM(I21:I23)</f>
        <v>1493105</v>
      </c>
      <c r="J20" s="66">
        <f>SUM(J21:J23)</f>
        <v>1453887</v>
      </c>
    </row>
    <row r="21" spans="1:10" s="2" customFormat="1" ht="14.25" customHeight="1">
      <c r="A21" s="414" t="s">
        <v>960</v>
      </c>
      <c r="B21" s="414"/>
      <c r="C21" s="414"/>
      <c r="D21" s="414"/>
      <c r="E21" s="414"/>
      <c r="F21" s="414"/>
      <c r="G21" s="15">
        <v>140</v>
      </c>
      <c r="H21" s="16"/>
      <c r="I21" s="67">
        <v>886648</v>
      </c>
      <c r="J21" s="67">
        <f>850523</f>
        <v>850523</v>
      </c>
    </row>
    <row r="22" spans="1:10" s="2" customFormat="1" ht="14.25" customHeight="1">
      <c r="A22" s="414" t="s">
        <v>1883</v>
      </c>
      <c r="B22" s="414"/>
      <c r="C22" s="414"/>
      <c r="D22" s="414"/>
      <c r="E22" s="414"/>
      <c r="F22" s="414"/>
      <c r="G22" s="15">
        <v>141</v>
      </c>
      <c r="H22" s="16"/>
      <c r="I22" s="67">
        <f>138190+256585</f>
        <v>394775</v>
      </c>
      <c r="J22" s="67">
        <f>147384+249852</f>
        <v>397236</v>
      </c>
    </row>
    <row r="23" spans="1:10" s="2" customFormat="1" ht="14.25" customHeight="1">
      <c r="A23" s="414" t="s">
        <v>1884</v>
      </c>
      <c r="B23" s="414"/>
      <c r="C23" s="414"/>
      <c r="D23" s="414"/>
      <c r="E23" s="414"/>
      <c r="F23" s="414"/>
      <c r="G23" s="15">
        <v>142</v>
      </c>
      <c r="H23" s="16"/>
      <c r="I23" s="67">
        <v>211682</v>
      </c>
      <c r="J23" s="67">
        <v>206128</v>
      </c>
    </row>
    <row r="24" spans="1:10" s="2" customFormat="1" ht="14.25" customHeight="1">
      <c r="A24" s="385" t="s">
        <v>1006</v>
      </c>
      <c r="B24" s="385"/>
      <c r="C24" s="385"/>
      <c r="D24" s="385"/>
      <c r="E24" s="385"/>
      <c r="F24" s="385"/>
      <c r="G24" s="15">
        <v>143</v>
      </c>
      <c r="H24" s="16"/>
      <c r="I24" s="67">
        <v>196902</v>
      </c>
      <c r="J24" s="67">
        <f>131627+53818+4544+1</f>
        <v>189990</v>
      </c>
    </row>
    <row r="25" spans="1:10" s="2" customFormat="1" ht="14.25" customHeight="1">
      <c r="A25" s="385" t="s">
        <v>1007</v>
      </c>
      <c r="B25" s="385"/>
      <c r="C25" s="385"/>
      <c r="D25" s="385"/>
      <c r="E25" s="385"/>
      <c r="F25" s="385"/>
      <c r="G25" s="15">
        <v>144</v>
      </c>
      <c r="H25" s="16"/>
      <c r="I25" s="67">
        <f>140695+301</f>
        <v>140996</v>
      </c>
      <c r="J25" s="67">
        <f>152839+10739+1</f>
        <v>163579</v>
      </c>
    </row>
    <row r="26" spans="1:12" s="2" customFormat="1" ht="14.25" customHeight="1">
      <c r="A26" s="385" t="s">
        <v>2495</v>
      </c>
      <c r="B26" s="385"/>
      <c r="C26" s="385"/>
      <c r="D26" s="385"/>
      <c r="E26" s="385"/>
      <c r="F26" s="385"/>
      <c r="G26" s="15">
        <v>145</v>
      </c>
      <c r="H26" s="16"/>
      <c r="I26" s="66">
        <f>SUM(I27:I28)</f>
        <v>0</v>
      </c>
      <c r="J26" s="66">
        <f>SUM(J27:J28)</f>
        <v>0</v>
      </c>
      <c r="L26" s="2" t="s">
        <v>1209</v>
      </c>
    </row>
    <row r="27" spans="1:12" s="2" customFormat="1" ht="14.25" customHeight="1">
      <c r="A27" s="414" t="s">
        <v>1275</v>
      </c>
      <c r="B27" s="414"/>
      <c r="C27" s="414"/>
      <c r="D27" s="414"/>
      <c r="E27" s="414"/>
      <c r="F27" s="414"/>
      <c r="G27" s="15">
        <v>146</v>
      </c>
      <c r="H27" s="16"/>
      <c r="I27" s="67"/>
      <c r="J27" s="67"/>
      <c r="L27" s="2" t="s">
        <v>1209</v>
      </c>
    </row>
    <row r="28" spans="1:12" s="2" customFormat="1" ht="14.25" customHeight="1">
      <c r="A28" s="414" t="s">
        <v>1276</v>
      </c>
      <c r="B28" s="414"/>
      <c r="C28" s="414"/>
      <c r="D28" s="414"/>
      <c r="E28" s="414"/>
      <c r="F28" s="414"/>
      <c r="G28" s="15">
        <v>147</v>
      </c>
      <c r="H28" s="16"/>
      <c r="I28" s="67"/>
      <c r="J28" s="67"/>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4" t="s">
        <v>1277</v>
      </c>
      <c r="B30" s="414"/>
      <c r="C30" s="414"/>
      <c r="D30" s="414"/>
      <c r="E30" s="414"/>
      <c r="F30" s="414"/>
      <c r="G30" s="15">
        <v>149</v>
      </c>
      <c r="H30" s="16"/>
      <c r="I30" s="67"/>
      <c r="J30" s="67"/>
      <c r="L30" s="2" t="s">
        <v>1209</v>
      </c>
    </row>
    <row r="31" spans="1:12" s="2" customFormat="1" ht="14.25" customHeight="1">
      <c r="A31" s="414" t="s">
        <v>1278</v>
      </c>
      <c r="B31" s="414"/>
      <c r="C31" s="414"/>
      <c r="D31" s="414"/>
      <c r="E31" s="414"/>
      <c r="F31" s="414"/>
      <c r="G31" s="15">
        <v>150</v>
      </c>
      <c r="H31" s="16"/>
      <c r="I31" s="67"/>
      <c r="J31" s="67"/>
      <c r="L31" s="2" t="s">
        <v>1209</v>
      </c>
    </row>
    <row r="32" spans="1:12" s="2" customFormat="1" ht="14.25" customHeight="1">
      <c r="A32" s="414" t="s">
        <v>1279</v>
      </c>
      <c r="B32" s="414"/>
      <c r="C32" s="414"/>
      <c r="D32" s="414"/>
      <c r="E32" s="414"/>
      <c r="F32" s="414"/>
      <c r="G32" s="15">
        <v>151</v>
      </c>
      <c r="H32" s="16"/>
      <c r="I32" s="67"/>
      <c r="J32" s="67"/>
      <c r="L32" s="2" t="s">
        <v>1209</v>
      </c>
    </row>
    <row r="33" spans="1:12" s="2" customFormat="1" ht="14.25" customHeight="1">
      <c r="A33" s="414" t="s">
        <v>1280</v>
      </c>
      <c r="B33" s="414"/>
      <c r="C33" s="414"/>
      <c r="D33" s="414"/>
      <c r="E33" s="414"/>
      <c r="F33" s="414"/>
      <c r="G33" s="15">
        <v>152</v>
      </c>
      <c r="H33" s="16"/>
      <c r="I33" s="67"/>
      <c r="J33" s="67"/>
      <c r="L33" s="2" t="s">
        <v>1209</v>
      </c>
    </row>
    <row r="34" spans="1:12" s="2" customFormat="1" ht="14.25" customHeight="1">
      <c r="A34" s="414" t="s">
        <v>1281</v>
      </c>
      <c r="B34" s="414"/>
      <c r="C34" s="414"/>
      <c r="D34" s="414"/>
      <c r="E34" s="414"/>
      <c r="F34" s="414"/>
      <c r="G34" s="15">
        <v>153</v>
      </c>
      <c r="H34" s="16"/>
      <c r="I34" s="67"/>
      <c r="J34" s="67"/>
      <c r="L34" s="2" t="s">
        <v>1209</v>
      </c>
    </row>
    <row r="35" spans="1:12" s="2" customFormat="1" ht="14.25" customHeight="1">
      <c r="A35" s="414" t="s">
        <v>1282</v>
      </c>
      <c r="B35" s="414"/>
      <c r="C35" s="414"/>
      <c r="D35" s="414"/>
      <c r="E35" s="414"/>
      <c r="F35" s="414"/>
      <c r="G35" s="15">
        <v>154</v>
      </c>
      <c r="H35" s="16"/>
      <c r="I35" s="67"/>
      <c r="J35" s="67"/>
      <c r="L35" s="2" t="s">
        <v>1209</v>
      </c>
    </row>
    <row r="36" spans="1:10" s="2" customFormat="1" ht="14.25" customHeight="1">
      <c r="A36" s="385" t="s">
        <v>147</v>
      </c>
      <c r="B36" s="385"/>
      <c r="C36" s="385"/>
      <c r="D36" s="385"/>
      <c r="E36" s="385"/>
      <c r="F36" s="385"/>
      <c r="G36" s="15">
        <v>155</v>
      </c>
      <c r="H36" s="16"/>
      <c r="I36" s="67"/>
      <c r="J36" s="67"/>
    </row>
    <row r="37" spans="1:10" s="2" customFormat="1" ht="14.25" customHeight="1">
      <c r="A37" s="387" t="s">
        <v>2497</v>
      </c>
      <c r="B37" s="387"/>
      <c r="C37" s="387"/>
      <c r="D37" s="387"/>
      <c r="E37" s="387"/>
      <c r="F37" s="387"/>
      <c r="G37" s="15">
        <v>156</v>
      </c>
      <c r="H37" s="16"/>
      <c r="I37" s="66">
        <f>SUM(I38:I47)</f>
        <v>40220</v>
      </c>
      <c r="J37" s="66">
        <f>SUM(J38:J47)</f>
        <v>40015</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c r="I44" s="67">
        <v>40220</v>
      </c>
      <c r="J44" s="67">
        <v>40015</v>
      </c>
    </row>
    <row r="45" spans="1:10" s="2" customFormat="1" ht="14.25" customHeight="1">
      <c r="A45" s="385" t="s">
        <v>2961</v>
      </c>
      <c r="B45" s="385"/>
      <c r="C45" s="385"/>
      <c r="D45" s="385"/>
      <c r="E45" s="385"/>
      <c r="F45" s="385"/>
      <c r="G45" s="15">
        <v>164</v>
      </c>
      <c r="H45" s="16"/>
      <c r="I45" s="67"/>
      <c r="J45" s="67"/>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c r="I48" s="66">
        <f>SUM(I49:I55)</f>
        <v>0</v>
      </c>
      <c r="J48" s="66">
        <f>SUM(J49:J55)</f>
        <v>0</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c r="I51" s="67"/>
      <c r="J51" s="67"/>
    </row>
    <row r="52" spans="1:10" s="2" customFormat="1" ht="14.25" customHeight="1">
      <c r="A52" s="413" t="s">
        <v>1090</v>
      </c>
      <c r="B52" s="413"/>
      <c r="C52" s="413"/>
      <c r="D52" s="413"/>
      <c r="E52" s="413"/>
      <c r="F52" s="413"/>
      <c r="G52" s="15">
        <v>171</v>
      </c>
      <c r="H52" s="16"/>
      <c r="I52" s="67"/>
      <c r="J52" s="67"/>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305022</v>
      </c>
      <c r="J60" s="66">
        <f>J8+J37+J56+J57</f>
        <v>690635</v>
      </c>
    </row>
    <row r="61" spans="1:10" s="2" customFormat="1" ht="14.25" customHeight="1">
      <c r="A61" s="387" t="s">
        <v>2500</v>
      </c>
      <c r="B61" s="387"/>
      <c r="C61" s="387"/>
      <c r="D61" s="387"/>
      <c r="E61" s="387"/>
      <c r="F61" s="387"/>
      <c r="G61" s="15">
        <v>180</v>
      </c>
      <c r="H61" s="16"/>
      <c r="I61" s="66">
        <f>I14+I48+I58+I59</f>
        <v>2880143</v>
      </c>
      <c r="J61" s="66">
        <f>J14+J48+J58+J59</f>
        <v>3179204</v>
      </c>
    </row>
    <row r="62" spans="1:12" s="2" customFormat="1" ht="14.25" customHeight="1">
      <c r="A62" s="387" t="s">
        <v>2501</v>
      </c>
      <c r="B62" s="387"/>
      <c r="C62" s="387"/>
      <c r="D62" s="387"/>
      <c r="E62" s="387"/>
      <c r="F62" s="387"/>
      <c r="G62" s="15">
        <v>181</v>
      </c>
      <c r="H62" s="16"/>
      <c r="I62" s="66">
        <f>I60-I61</f>
        <v>-2575121</v>
      </c>
      <c r="J62" s="66">
        <f>J60-J61</f>
        <v>-2488569</v>
      </c>
      <c r="L62" s="2" t="s">
        <v>1209</v>
      </c>
    </row>
    <row r="63" spans="1:10" s="2" customFormat="1" ht="14.25" customHeight="1">
      <c r="A63" s="413" t="s">
        <v>2502</v>
      </c>
      <c r="B63" s="413"/>
      <c r="C63" s="413"/>
      <c r="D63" s="413"/>
      <c r="E63" s="413"/>
      <c r="F63" s="413"/>
      <c r="G63" s="15">
        <v>182</v>
      </c>
      <c r="H63" s="16"/>
      <c r="I63" s="66">
        <f>IF(I60&gt;I61,I60-I61,0)</f>
        <v>0</v>
      </c>
      <c r="J63" s="66">
        <f>IF(J60&gt;J61,J60-J61,0)</f>
        <v>0</v>
      </c>
    </row>
    <row r="64" spans="1:10" s="2" customFormat="1" ht="14.25" customHeight="1">
      <c r="A64" s="413" t="s">
        <v>2503</v>
      </c>
      <c r="B64" s="413"/>
      <c r="C64" s="413"/>
      <c r="D64" s="413"/>
      <c r="E64" s="413"/>
      <c r="F64" s="413"/>
      <c r="G64" s="15">
        <v>183</v>
      </c>
      <c r="H64" s="16"/>
      <c r="I64" s="66">
        <f>IF(I61&gt;I60,I61-I60,0)</f>
        <v>2575121</v>
      </c>
      <c r="J64" s="66">
        <f>IF(J61&gt;J60,J61-J60,0)</f>
        <v>2488569</v>
      </c>
    </row>
    <row r="65" spans="1:12" s="2" customFormat="1" ht="14.25" customHeight="1">
      <c r="A65" s="387" t="s">
        <v>1238</v>
      </c>
      <c r="B65" s="387"/>
      <c r="C65" s="387"/>
      <c r="D65" s="387"/>
      <c r="E65" s="387"/>
      <c r="F65" s="387"/>
      <c r="G65" s="15">
        <v>184</v>
      </c>
      <c r="H65" s="16"/>
      <c r="I65" s="67"/>
      <c r="J65" s="67"/>
      <c r="L65" s="2" t="s">
        <v>1209</v>
      </c>
    </row>
    <row r="66" spans="1:12" s="2" customFormat="1" ht="14.25" customHeight="1">
      <c r="A66" s="387" t="s">
        <v>2504</v>
      </c>
      <c r="B66" s="387"/>
      <c r="C66" s="387"/>
      <c r="D66" s="387"/>
      <c r="E66" s="387"/>
      <c r="F66" s="387"/>
      <c r="G66" s="15">
        <v>185</v>
      </c>
      <c r="H66" s="16"/>
      <c r="I66" s="66">
        <f>I62-I65</f>
        <v>-2575121</v>
      </c>
      <c r="J66" s="66">
        <f>J62-J65</f>
        <v>-2488569</v>
      </c>
      <c r="L66" s="2" t="s">
        <v>1209</v>
      </c>
    </row>
    <row r="67" spans="1:10" s="2" customFormat="1" ht="14.25" customHeight="1">
      <c r="A67" s="413" t="s">
        <v>2505</v>
      </c>
      <c r="B67" s="413"/>
      <c r="C67" s="413"/>
      <c r="D67" s="413"/>
      <c r="E67" s="413"/>
      <c r="F67" s="413"/>
      <c r="G67" s="15">
        <v>186</v>
      </c>
      <c r="H67" s="16"/>
      <c r="I67" s="66">
        <f>IF(I66&gt;0,I66,0)</f>
        <v>0</v>
      </c>
      <c r="J67" s="66">
        <f>IF(J66&gt;0,J66,0)</f>
        <v>0</v>
      </c>
    </row>
    <row r="68" spans="1:10" s="2" customFormat="1" ht="14.25" customHeight="1">
      <c r="A68" s="425" t="s">
        <v>2506</v>
      </c>
      <c r="B68" s="425"/>
      <c r="C68" s="425"/>
      <c r="D68" s="425"/>
      <c r="E68" s="425"/>
      <c r="F68" s="425"/>
      <c r="G68" s="17">
        <v>187</v>
      </c>
      <c r="H68" s="18"/>
      <c r="I68" s="81">
        <f>IF(I66&lt;0,-I66,0)</f>
        <v>2575121</v>
      </c>
      <c r="J68" s="81">
        <f>IF(J66&lt;0,-J66,0)</f>
        <v>2488569</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22" t="s">
        <v>1506</v>
      </c>
      <c r="B88" s="422"/>
      <c r="C88" s="422"/>
      <c r="D88" s="422"/>
      <c r="E88" s="422"/>
      <c r="F88" s="422"/>
      <c r="G88" s="423"/>
      <c r="H88" s="423"/>
      <c r="I88" s="423"/>
      <c r="J88" s="423"/>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13:F13"/>
    <mergeCell ref="A21:F21"/>
    <mergeCell ref="A9:F9"/>
    <mergeCell ref="A8:F8"/>
    <mergeCell ref="A22:F22"/>
    <mergeCell ref="A7:F7"/>
    <mergeCell ref="A11:F11"/>
    <mergeCell ref="A17:F17"/>
    <mergeCell ref="A12:F12"/>
    <mergeCell ref="A10:F10"/>
    <mergeCell ref="A88:J88"/>
    <mergeCell ref="A18:F18"/>
    <mergeCell ref="A19:F19"/>
    <mergeCell ref="A26:F26"/>
    <mergeCell ref="A27:F27"/>
    <mergeCell ref="A29:F29"/>
    <mergeCell ref="A36:F36"/>
    <mergeCell ref="A34:F34"/>
    <mergeCell ref="A71:F71"/>
    <mergeCell ref="A55:F55"/>
    <mergeCell ref="A5:J5"/>
    <mergeCell ref="A6:F6"/>
    <mergeCell ref="A2:I2"/>
    <mergeCell ref="A3:I3"/>
    <mergeCell ref="J2:J3"/>
    <mergeCell ref="A31:F31"/>
    <mergeCell ref="A16:F16"/>
    <mergeCell ref="A23:F23"/>
    <mergeCell ref="A24:F24"/>
    <mergeCell ref="A15:F15"/>
    <mergeCell ref="A20:F20"/>
    <mergeCell ref="A39:F39"/>
    <mergeCell ref="A40:F40"/>
    <mergeCell ref="A38:F38"/>
    <mergeCell ref="A35:F35"/>
    <mergeCell ref="A45:F45"/>
    <mergeCell ref="A25:F25"/>
    <mergeCell ref="A41:F41"/>
    <mergeCell ref="A28:F28"/>
    <mergeCell ref="A30:F30"/>
    <mergeCell ref="A33:F33"/>
    <mergeCell ref="A56:F56"/>
    <mergeCell ref="A61:F61"/>
    <mergeCell ref="A48:F48"/>
    <mergeCell ref="A46:F46"/>
    <mergeCell ref="A47:F47"/>
    <mergeCell ref="A49:F49"/>
    <mergeCell ref="A42:F42"/>
    <mergeCell ref="A43:F43"/>
    <mergeCell ref="A44:F44"/>
    <mergeCell ref="A37:F37"/>
    <mergeCell ref="A32:F32"/>
    <mergeCell ref="A102:F102"/>
    <mergeCell ref="A87:F87"/>
    <mergeCell ref="A50:F50"/>
    <mergeCell ref="A51:F51"/>
    <mergeCell ref="A57:F57"/>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5" activePane="bottomLeft" state="frozen"/>
      <selection pane="topLeft" activeCell="A1" sqref="A1"/>
      <selection pane="bottomLeft" activeCell="A1" sqref="A1"/>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47" t="s">
        <v>821</v>
      </c>
      <c r="B2" s="448"/>
      <c r="C2" s="448"/>
      <c r="D2" s="448"/>
      <c r="E2" s="448"/>
      <c r="F2" s="448"/>
      <c r="G2" s="448"/>
      <c r="H2" s="448"/>
      <c r="I2" s="449"/>
      <c r="J2" s="389" t="s">
        <v>1211</v>
      </c>
      <c r="Q2" s="70">
        <f>IF(MAX(I9:I88)&gt;0,1,0)</f>
        <v>1</v>
      </c>
      <c r="R2" s="69" t="s">
        <v>1204</v>
      </c>
    </row>
    <row r="3" spans="1:18" s="2" customFormat="1" ht="19.5" customHeight="1" thickBot="1">
      <c r="A3" s="450" t="str">
        <f>"za razdoblje "&amp;IF(RefStr!C4&lt;&gt;"",TEXT(RefStr!C4,"DD.MM.YYYY."),"__.__.____.")&amp;" do "&amp;IF(RefStr!F4&lt;&gt;"",TEXT(RefStr!F4,"DD.MM.YYYY."),"__.__.____.")</f>
        <v>za razdoblje 01.01.2022. do 31.12.2022.</v>
      </c>
      <c r="B3" s="451"/>
      <c r="C3" s="451"/>
      <c r="D3" s="451"/>
      <c r="E3" s="451"/>
      <c r="F3" s="451"/>
      <c r="G3" s="451"/>
      <c r="H3" s="451"/>
      <c r="I3" s="452"/>
      <c r="J3" s="437"/>
      <c r="Q3" s="70">
        <f>IF(MAX(J9:J88)&gt;0,1,0)</f>
        <v>1</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54045399638; REGIONALNI CENTAR ČISTOG OKOLIŠA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v>1000000</v>
      </c>
      <c r="J10" s="73">
        <v>1000000</v>
      </c>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v>2940</v>
      </c>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v>200</v>
      </c>
      <c r="J26" s="73">
        <v>600</v>
      </c>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v>200</v>
      </c>
      <c r="J37" s="90">
        <v>600</v>
      </c>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v>11256</v>
      </c>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v>19799</v>
      </c>
      <c r="J50" s="73">
        <v>24968</v>
      </c>
    </row>
    <row r="51" spans="1:10" s="2" customFormat="1" ht="24.75" customHeight="1">
      <c r="A51" s="413" t="s">
        <v>2106</v>
      </c>
      <c r="B51" s="413"/>
      <c r="C51" s="413"/>
      <c r="D51" s="413"/>
      <c r="E51" s="413"/>
      <c r="F51" s="413"/>
      <c r="G51" s="426"/>
      <c r="H51" s="15">
        <v>263</v>
      </c>
      <c r="I51" s="73">
        <f>2318+1265</f>
        <v>3583</v>
      </c>
      <c r="J51" s="73">
        <f>2320+1109</f>
        <v>3429</v>
      </c>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f>108752+54836</f>
        <v>163588</v>
      </c>
      <c r="J57" s="73">
        <f>100187+55793</f>
        <v>155980</v>
      </c>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v>2689</v>
      </c>
      <c r="J60" s="73">
        <v>2682</v>
      </c>
    </row>
    <row r="61" spans="1:10" s="2" customFormat="1" ht="13.5" customHeight="1">
      <c r="A61" s="433" t="s">
        <v>645</v>
      </c>
      <c r="B61" s="433"/>
      <c r="C61" s="433"/>
      <c r="D61" s="433"/>
      <c r="E61" s="433"/>
      <c r="F61" s="433"/>
      <c r="G61" s="434"/>
      <c r="H61" s="15">
        <v>273</v>
      </c>
      <c r="I61" s="73">
        <v>2689</v>
      </c>
      <c r="J61" s="73">
        <v>2682</v>
      </c>
    </row>
    <row r="62" spans="1:10" s="2" customFormat="1" ht="13.5" customHeight="1">
      <c r="A62" s="413" t="s">
        <v>2820</v>
      </c>
      <c r="B62" s="413"/>
      <c r="C62" s="413"/>
      <c r="D62" s="413"/>
      <c r="E62" s="413"/>
      <c r="F62" s="413"/>
      <c r="G62" s="426"/>
      <c r="H62" s="15">
        <v>274</v>
      </c>
      <c r="I62" s="73">
        <v>504</v>
      </c>
      <c r="J62" s="73">
        <v>500</v>
      </c>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f>103620+600+3922</f>
        <v>108142</v>
      </c>
      <c r="J65" s="73">
        <f>101690+26882</f>
        <v>128572</v>
      </c>
    </row>
    <row r="66" spans="1:10" s="2" customFormat="1" ht="13.5" customHeight="1">
      <c r="A66" s="433" t="s">
        <v>2658</v>
      </c>
      <c r="B66" s="433"/>
      <c r="C66" s="433"/>
      <c r="D66" s="433"/>
      <c r="E66" s="433"/>
      <c r="F66" s="433"/>
      <c r="G66" s="434"/>
      <c r="H66" s="15">
        <v>278</v>
      </c>
      <c r="I66" s="73">
        <v>8000</v>
      </c>
      <c r="J66" s="73">
        <v>0</v>
      </c>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v>1118</v>
      </c>
      <c r="J68" s="73">
        <v>190</v>
      </c>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v>40220</v>
      </c>
      <c r="J73" s="90">
        <v>40015</v>
      </c>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c r="J76" s="74"/>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1223543</v>
      </c>
      <c r="J78" s="220">
        <f>SUM(J79:J82)</f>
        <v>1065567</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v>162192</v>
      </c>
      <c r="J80" s="73"/>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f>823258+60757+177336</f>
        <v>1061351</v>
      </c>
      <c r="J82" s="73">
        <f>882503+183064</f>
        <v>1065567</v>
      </c>
    </row>
    <row r="83" spans="1:10" s="2" customFormat="1" ht="13.5" customHeight="1">
      <c r="A83" s="413" t="s">
        <v>202</v>
      </c>
      <c r="B83" s="413"/>
      <c r="C83" s="413"/>
      <c r="D83" s="413"/>
      <c r="E83" s="413"/>
      <c r="F83" s="413"/>
      <c r="G83" s="426"/>
      <c r="H83" s="15">
        <v>293</v>
      </c>
      <c r="I83" s="73"/>
      <c r="J83" s="73">
        <v>4226975</v>
      </c>
    </row>
    <row r="84" spans="1:10" s="2" customFormat="1" ht="13.5" customHeight="1">
      <c r="A84" s="413" t="s">
        <v>203</v>
      </c>
      <c r="B84" s="413"/>
      <c r="C84" s="413"/>
      <c r="D84" s="413"/>
      <c r="E84" s="413"/>
      <c r="F84" s="413"/>
      <c r="G84" s="426"/>
      <c r="H84" s="15">
        <v>294</v>
      </c>
      <c r="I84" s="73">
        <f>+I80+I82+I83</f>
        <v>1223543</v>
      </c>
      <c r="J84" s="73">
        <v>1065567</v>
      </c>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47" t="s">
        <v>1102</v>
      </c>
      <c r="B2" s="448"/>
      <c r="C2" s="448"/>
      <c r="D2" s="448"/>
      <c r="E2" s="448"/>
      <c r="F2" s="448"/>
      <c r="G2" s="448"/>
      <c r="H2" s="448"/>
      <c r="I2" s="453"/>
      <c r="J2" s="389" t="s">
        <v>1212</v>
      </c>
      <c r="Q2" s="70">
        <f>IF(OR(MIN(I8:I60)&lt;0,MAX(I8:I60)&gt;0),1,0)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4"/>
      <c r="J3" s="437"/>
      <c r="Q3" s="70">
        <f>IF(OR(MIN(J8:J60)&lt;0,MAX(J8:J60)&gt;0),1,0)</f>
        <v>0</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54045399638; REGIONALNI CENTAR ČISTOG OKOLIŠA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c r="J9" s="138"/>
    </row>
    <row r="10" spans="1:10" s="2" customFormat="1" ht="13.5" customHeight="1">
      <c r="A10" s="413" t="s">
        <v>71</v>
      </c>
      <c r="B10" s="413"/>
      <c r="C10" s="413"/>
      <c r="D10" s="413"/>
      <c r="E10" s="413"/>
      <c r="F10" s="413"/>
      <c r="G10" s="15">
        <v>2</v>
      </c>
      <c r="H10" s="19"/>
      <c r="I10" s="121">
        <f>SUM(I11:I18)</f>
        <v>0</v>
      </c>
      <c r="J10" s="121">
        <f>SUM(J11:J18)</f>
        <v>0</v>
      </c>
    </row>
    <row r="11" spans="1:12" s="2" customFormat="1" ht="13.5" customHeight="1">
      <c r="A11" s="433" t="s">
        <v>1543</v>
      </c>
      <c r="B11" s="433"/>
      <c r="C11" s="433"/>
      <c r="D11" s="433"/>
      <c r="E11" s="433"/>
      <c r="F11" s="433"/>
      <c r="G11" s="15">
        <v>3</v>
      </c>
      <c r="H11" s="19"/>
      <c r="I11" s="122"/>
      <c r="J11" s="122"/>
      <c r="L11" s="2" t="s">
        <v>2525</v>
      </c>
    </row>
    <row r="12" spans="1:10" s="2" customFormat="1" ht="24.75" customHeight="1">
      <c r="A12" s="433" t="s">
        <v>2441</v>
      </c>
      <c r="B12" s="433"/>
      <c r="C12" s="433"/>
      <c r="D12" s="433"/>
      <c r="E12" s="433"/>
      <c r="F12" s="433"/>
      <c r="G12" s="15">
        <v>4</v>
      </c>
      <c r="H12" s="19"/>
      <c r="I12" s="122"/>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c r="J18" s="122"/>
    </row>
    <row r="19" spans="1:14" s="2" customFormat="1" ht="24.75" customHeight="1">
      <c r="A19" s="408" t="s">
        <v>2439</v>
      </c>
      <c r="B19" s="408"/>
      <c r="C19" s="408"/>
      <c r="D19" s="408"/>
      <c r="E19" s="408"/>
      <c r="F19" s="408"/>
      <c r="G19" s="15">
        <v>11</v>
      </c>
      <c r="H19" s="19"/>
      <c r="I19" s="121">
        <f>I9+I10</f>
        <v>0</v>
      </c>
      <c r="J19" s="121">
        <f>J9+J10</f>
        <v>0</v>
      </c>
      <c r="N19" s="2">
        <f>IF(MIN(NT_I!I11:J11,NT_I!I15:J15,NT_I!I30:J36,NT_I!I59:J60)&lt;0,1,0)</f>
        <v>0</v>
      </c>
    </row>
    <row r="20" spans="1:10" s="2" customFormat="1" ht="13.5" customHeight="1">
      <c r="A20" s="413" t="s">
        <v>21</v>
      </c>
      <c r="B20" s="413"/>
      <c r="C20" s="413"/>
      <c r="D20" s="413"/>
      <c r="E20" s="413"/>
      <c r="F20" s="413"/>
      <c r="G20" s="15">
        <v>12</v>
      </c>
      <c r="H20" s="19"/>
      <c r="I20" s="121">
        <f>SUM(I21:I24)</f>
        <v>0</v>
      </c>
      <c r="J20" s="121">
        <f>SUM(J21:J24)</f>
        <v>0</v>
      </c>
    </row>
    <row r="21" spans="1:10" s="2" customFormat="1" ht="13.5" customHeight="1">
      <c r="A21" s="433" t="s">
        <v>2353</v>
      </c>
      <c r="B21" s="433"/>
      <c r="C21" s="433"/>
      <c r="D21" s="433"/>
      <c r="E21" s="433"/>
      <c r="F21" s="433"/>
      <c r="G21" s="15">
        <v>13</v>
      </c>
      <c r="H21" s="19"/>
      <c r="I21" s="122"/>
      <c r="J21" s="122"/>
    </row>
    <row r="22" spans="1:10" s="2" customFormat="1" ht="13.5" customHeight="1">
      <c r="A22" s="433" t="s">
        <v>2354</v>
      </c>
      <c r="B22" s="433"/>
      <c r="C22" s="433"/>
      <c r="D22" s="433"/>
      <c r="E22" s="433"/>
      <c r="F22" s="433"/>
      <c r="G22" s="15">
        <v>14</v>
      </c>
      <c r="H22" s="19"/>
      <c r="I22" s="122"/>
      <c r="J22" s="122"/>
    </row>
    <row r="23" spans="1:10" s="2" customFormat="1" ht="13.5" customHeight="1">
      <c r="A23" s="433" t="s">
        <v>2355</v>
      </c>
      <c r="B23" s="433"/>
      <c r="C23" s="433"/>
      <c r="D23" s="433"/>
      <c r="E23" s="433"/>
      <c r="F23" s="433"/>
      <c r="G23" s="15">
        <v>15</v>
      </c>
      <c r="H23" s="19"/>
      <c r="I23" s="122"/>
      <c r="J23" s="122"/>
    </row>
    <row r="24" spans="1:10" s="2" customFormat="1" ht="13.5" customHeight="1">
      <c r="A24" s="433" t="s">
        <v>2356</v>
      </c>
      <c r="B24" s="433"/>
      <c r="C24" s="433"/>
      <c r="D24" s="433"/>
      <c r="E24" s="433"/>
      <c r="F24" s="433"/>
      <c r="G24" s="15">
        <v>16</v>
      </c>
      <c r="H24" s="19"/>
      <c r="I24" s="122"/>
      <c r="J24" s="122"/>
    </row>
    <row r="25" spans="1:10" s="2" customFormat="1" ht="13.5" customHeight="1">
      <c r="A25" s="408" t="s">
        <v>2936</v>
      </c>
      <c r="B25" s="408"/>
      <c r="C25" s="408"/>
      <c r="D25" s="408"/>
      <c r="E25" s="408"/>
      <c r="F25" s="408"/>
      <c r="G25" s="15">
        <v>17</v>
      </c>
      <c r="H25" s="19"/>
      <c r="I25" s="121">
        <f>I19+I20</f>
        <v>0</v>
      </c>
      <c r="J25" s="121">
        <f>J19+J20</f>
        <v>0</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c r="J27" s="122"/>
    </row>
    <row r="28" spans="1:10" s="2" customFormat="1" ht="13.5" customHeight="1">
      <c r="A28" s="459" t="s">
        <v>70</v>
      </c>
      <c r="B28" s="459"/>
      <c r="C28" s="459"/>
      <c r="D28" s="459"/>
      <c r="E28" s="459"/>
      <c r="F28" s="459"/>
      <c r="G28" s="17">
        <v>20</v>
      </c>
      <c r="H28" s="20"/>
      <c r="I28" s="123">
        <f>SUM(I25:I27)</f>
        <v>0</v>
      </c>
      <c r="J28" s="123">
        <f>SUM(J25:J27)</f>
        <v>0</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0</v>
      </c>
      <c r="J36" s="82">
        <f>SUM(J30:J35)</f>
        <v>0</v>
      </c>
      <c r="L36" s="2" t="s">
        <v>2525</v>
      </c>
    </row>
    <row r="37" spans="1:12" s="2" customFormat="1" ht="13.5" customHeight="1">
      <c r="A37" s="413" t="s">
        <v>66</v>
      </c>
      <c r="B37" s="413"/>
      <c r="C37" s="413"/>
      <c r="D37" s="413"/>
      <c r="E37" s="413"/>
      <c r="F37" s="413"/>
      <c r="G37" s="15">
        <v>28</v>
      </c>
      <c r="H37" s="19"/>
      <c r="I37" s="73"/>
      <c r="J37" s="73"/>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0</v>
      </c>
      <c r="J42" s="82">
        <f>SUM(J37:J41)</f>
        <v>0</v>
      </c>
      <c r="L42" s="2" t="s">
        <v>1209</v>
      </c>
    </row>
    <row r="43" spans="1:10" s="2" customFormat="1" ht="13.5" customHeight="1">
      <c r="A43" s="459" t="s">
        <v>2923</v>
      </c>
      <c r="B43" s="459"/>
      <c r="C43" s="459"/>
      <c r="D43" s="459"/>
      <c r="E43" s="459"/>
      <c r="F43" s="459"/>
      <c r="G43" s="17">
        <v>34</v>
      </c>
      <c r="H43" s="20"/>
      <c r="I43" s="83">
        <f>I36+I42</f>
        <v>0</v>
      </c>
      <c r="J43" s="83">
        <f>J36+J42</f>
        <v>0</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c r="J47" s="73"/>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0</v>
      </c>
      <c r="J49" s="82">
        <f>SUM(J45:J48)</f>
        <v>0</v>
      </c>
      <c r="L49" s="2" t="s">
        <v>2525</v>
      </c>
    </row>
    <row r="50" spans="1:12" s="2" customFormat="1" ht="24.75" customHeight="1">
      <c r="A50" s="413" t="s">
        <v>2562</v>
      </c>
      <c r="B50" s="413"/>
      <c r="C50" s="413"/>
      <c r="D50" s="413"/>
      <c r="E50" s="413"/>
      <c r="F50" s="413"/>
      <c r="G50" s="15">
        <v>40</v>
      </c>
      <c r="H50" s="19"/>
      <c r="I50" s="73"/>
      <c r="J50" s="73"/>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0</v>
      </c>
      <c r="J55" s="82">
        <f>SUM(J50:J54)</f>
        <v>0</v>
      </c>
      <c r="L55" s="2" t="s">
        <v>1209</v>
      </c>
    </row>
    <row r="56" spans="1:10" s="2" customFormat="1" ht="13.5" customHeight="1">
      <c r="A56" s="410" t="s">
        <v>209</v>
      </c>
      <c r="B56" s="410"/>
      <c r="C56" s="410"/>
      <c r="D56" s="410"/>
      <c r="E56" s="410"/>
      <c r="F56" s="410"/>
      <c r="G56" s="15">
        <v>46</v>
      </c>
      <c r="H56" s="19"/>
      <c r="I56" s="82">
        <f>I49+I55</f>
        <v>0</v>
      </c>
      <c r="J56" s="82">
        <f>J49+J55</f>
        <v>0</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0</v>
      </c>
      <c r="J58" s="82">
        <f>J28+J43+J56+J57</f>
        <v>0</v>
      </c>
    </row>
    <row r="59" spans="1:12" s="2" customFormat="1" ht="13.5" customHeight="1">
      <c r="A59" s="410" t="s">
        <v>2810</v>
      </c>
      <c r="B59" s="410"/>
      <c r="C59" s="410"/>
      <c r="D59" s="410"/>
      <c r="E59" s="410"/>
      <c r="F59" s="410"/>
      <c r="G59" s="15">
        <v>49</v>
      </c>
      <c r="H59" s="19"/>
      <c r="I59" s="73"/>
      <c r="J59" s="73"/>
      <c r="L59" s="2" t="s">
        <v>2525</v>
      </c>
    </row>
    <row r="60" spans="1:18" s="2" customFormat="1" ht="13.5" customHeight="1">
      <c r="A60" s="459" t="s">
        <v>2560</v>
      </c>
      <c r="B60" s="459"/>
      <c r="C60" s="459"/>
      <c r="D60" s="459"/>
      <c r="E60" s="459"/>
      <c r="F60" s="459"/>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6"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01.01.2022. do 31.12.2022.</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54045399638; REGIONALNI CENTAR ČISTOG OKOLIŠA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45:F45"/>
    <mergeCell ref="A43:F43"/>
    <mergeCell ref="A32:F32"/>
    <mergeCell ref="A35:F35"/>
    <mergeCell ref="A47:F47"/>
    <mergeCell ref="A33:F33"/>
    <mergeCell ref="A41:F41"/>
    <mergeCell ref="A42:F42"/>
    <mergeCell ref="A36:F36"/>
    <mergeCell ref="A49:F49"/>
    <mergeCell ref="A37:F37"/>
    <mergeCell ref="A39:F39"/>
    <mergeCell ref="A38:J38"/>
    <mergeCell ref="A40:F40"/>
    <mergeCell ref="A46:F46"/>
    <mergeCell ref="A44:F44"/>
    <mergeCell ref="A34:F34"/>
    <mergeCell ref="A54:F54"/>
    <mergeCell ref="A53:F53"/>
    <mergeCell ref="A50:F50"/>
    <mergeCell ref="A48:F48"/>
    <mergeCell ref="A51:F51"/>
    <mergeCell ref="A52:F52"/>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0</v>
      </c>
      <c r="AD2" s="3" t="s">
        <v>1216</v>
      </c>
    </row>
    <row r="3" spans="1:30" s="3" customFormat="1" ht="19.5" customHeight="1" thickBot="1">
      <c r="A3" s="484" t="str">
        <f>"za razdoblje od "&amp;IF(RefStr!C4&lt;&gt;"",TEXT(RefStr!C4,"DD.MM.YYYY."),"__.__.____.")&amp;" do "&amp;IF(RefStr!F4&lt;&gt;"",TEXT(RefStr!F4,"DD.MM.YYYY."),"__.__.____.")</f>
        <v>za razdoblje od 01.01.2022. do 31.12.2022.</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54045399638; REGIONALNI CENTAR ČISTOG OKOLIŠA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Sandra Capan</cp:lastModifiedBy>
  <cp:lastPrinted>2023-04-17T12:24:36Z</cp:lastPrinted>
  <dcterms:created xsi:type="dcterms:W3CDTF">2008-10-17T11:51:54Z</dcterms:created>
  <dcterms:modified xsi:type="dcterms:W3CDTF">2023-04-26T06:06:00Z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