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88"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<sst xmlns="http://schemas.openxmlformats.org/spreadsheetml/2006/main" count="3662" uniqueCount="2965">
  <si>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</si>
  <si>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</si>
  <si>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</si>
  <si>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</si>
  <si>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</si>
  <si>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</si>
  <si>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</si>
  <si>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</si>
  <si>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</si>
  <si>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</si>
  <si>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</si>
  <si>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</si>
  <si>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</si>
  <si>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</si>
  <si>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</si>
  <si>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</si>
  <si>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</si>
  <si>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</si>
  <si>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</si>
  <si>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</si>
  <si>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</si>
  <si>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</si>
  <si>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</si>
  <si>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</si>
  <si>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</si>
  <si>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</si>
  <si>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</si>
  <si>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</si>
  <si>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</si>
  <si>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</si>
  <si>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</si>
  <si>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</si>
  <si>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</si>
  <si>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</si>
  <si>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</si>
  <si>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</si>
  <si>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</si>
  <si>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</si>
  <si>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</si>
  <si>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</si>
  <si>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</si>
  <si>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</si>
  <si>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</si>
  <si>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</si>
  <si>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</si>
  <si>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</si>
  <si>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</si>
  <si>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</si>
  <si>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</si>
  <si>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</si>
  <si>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</si>
  <si>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</si>
  <si>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</si>
  <si>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</si>
  <si>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</si>
  <si>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</si>
  <si>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</si>
  <si>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</si>
  <si>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</si>
  <si>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</si>
  <si>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</si>
  <si>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</si>
  <si>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</si>
  <si>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</si>
  <si>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</si>
  <si>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</si>
  <si>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</si>
  <si>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</si>
  <si>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</si>
  <si>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</si>
  <si>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</si>
  <si>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</si>
  <si>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</si>
  <si>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</si>
  <si>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</si>
  <si>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</si>
  <si>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</si>
  <si>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</si>
  <si>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</si>
  <si>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</si>
  <si>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</si>
  <si>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</si>
  <si>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</si>
  <si>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</si>
  <si>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</si>
  <si>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</si>
  <si>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</si>
  <si>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</si>
  <si>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</si>
  <si>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</si>
  <si>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</si>
  <si>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</si>
  <si>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</si>
  <si>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</si>
  <si>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</si>
  <si>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</si>
  <si>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</si>
  <si>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</si>
  <si>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</si>
  <si>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</si>
  <si>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</si>
  <si>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</si>
  <si>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</si>
  <si>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</si>
  <si>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</si>
  <si>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</si>
  <si>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</si>
  <si>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</si>
  <si>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</si>
  <si>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</si>
  <si>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</si>
  <si>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</si>
  <si>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</si>
  <si>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</si>
  <si>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</si>
  <si>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</si>
  <si>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</si>
  <si>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</si>
  <si>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</si>
  <si>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</si>
  <si>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</si>
  <si>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</si>
  <si>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</si>
  <si>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</si>
  <si>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</si>
  <si>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</si>
  <si>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</si>
  <si>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</si>
  <si>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</si>
  <si>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</si>
  <si>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</si>
  <si>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</si>
  <si>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</si>
  <si>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</si>
  <si>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</si>
  <si>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</si>
  <si>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</si>
  <si>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</si>
  <si>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</si>
  <si>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</si>
  <si>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</si>
  <si>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</si>
  <si>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</si>
  <si>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</si>
  <si>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</si>
  <si>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</si>
  <si>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</si>
  <si>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</si>
  <si>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</si>
  <si>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</si>
  <si>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</si>
  <si>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</si>
  <si>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</si>
  <si>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</si>
  <si>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</si>
  <si>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</si>
  <si>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</si>
  <si>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</si>
  <si>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</si>
  <si>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</si>
  <si>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</si>
  <si>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</si>
  <si>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</si>
  <si>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</si>
  <si>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</si>
  <si>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</si>
  <si>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</si>
  <si>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</si>
  <si>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</si>
  <si>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</si>
  <si>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</si>
  <si>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</si>
  <si>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</si>
  <si>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</si>
  <si>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</si>
  <si>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</si>
  <si>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</si>
  <si>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</si>
  <si>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</si>
  <si>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</si>
  <si>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</si>
  <si>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</si>
  <si>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</si>
  <si>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</si>
  <si>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</si>
  <si>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</si>
  <si>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</si>
  <si>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</si>
  <si>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</si>
  <si>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</si>
  <si>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</si>
  <si>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</si>
  <si>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</si>
  <si>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</si>
  <si>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</si>
  <si>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</si>
  <si>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</si>
  <si>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</si>
  <si>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</si>
  <si>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</si>
  <si>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</si>
  <si>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</si>
  <si>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</si>
  <si>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</si>
  <si>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</si>
  <si>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</si>
  <si>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</si>
  <si>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</si>
  <si>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</si>
  <si>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</si>
  <si>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</si>
  <si>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</si>
  <si>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</si>
  <si>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</si>
  <si>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</si>
  <si>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</si>
  <si>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</si>
  <si>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</si>
  <si>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</si>
  <si>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</si>
  <si>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</si>
  <si>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</si>
  <si>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</si>
  <si>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</si>
  <si>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</si>
  <si>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</si>
  <si>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</si>
  <si>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</si>
  <si>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</si>
  <si>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</si>
  <si>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</si>
  <si>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</si>
  <si>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</si>
  <si>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</si>
  <si>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</si>
  <si>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</si>
  <si>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</si>
  <si>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</si>
  <si>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</si>
  <si>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</si>
  <si>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</si>
  <si>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</si>
  <si>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</si>
  <si>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</si>
  <si>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</si>
  <si>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</si>
  <si>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</si>
  <si>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</si>
  <si>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</si>
  <si>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</si>
  <si>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</si>
  <si>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</si>
  <si>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</si>
  <si>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</si>
  <si>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</si>
  <si>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</si>
  <si>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</si>
  <si>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</si>
  <si>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</si>
  <si>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</si>
  <si>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</si>
  <si>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</si>
  <si>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</si>
  <si>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</si>
  <si>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</si>
  <si>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</si>
  <si>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</si>
  <si>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</si>
  <si>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</si>
  <si>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</si>
  <si>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</si>
  <si>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</si>
  <si>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</si>
  <si>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</si>
  <si>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</si>
  <si>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</si>
  <si>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</si>
  <si>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</si>
  <si>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</si>
  <si>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</si>
  <si>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</si>
  <si>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</si>
  <si>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</si>
  <si>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</si>
  <si>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</si>
  <si>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</si>
  <si>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</si>
  <si>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</si>
  <si>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</si>
  <si>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</si>
  <si>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</si>
  <si>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</si>
  <si>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</si>
  <si>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</si>
  <si>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</si>
  <si>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</si>
  <si>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</si>
  <si>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</si>
  <si>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</si>
  <si>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</si>
  <si>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</si>
  <si>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</si>
  <si>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</si>
  <si>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</si>
  <si>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</si>
  <si>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</si>
  <si>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</si>
  <si>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</si>
  <si>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</si>
  <si>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</si>
  <si>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</si>
  <si>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</si>
  <si>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</si>
  <si>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</si>
  <si>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</si>
  <si>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</si>
  <si>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</si>
  <si>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</si>
  <si>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</si>
  <si>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</si>
  <si>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</si>
  <si>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</si>
  <si>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</si>
  <si>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</si>
  <si>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</si>
  <si>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</si>
  <si>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</si>
  <si>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</si>
  <si>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</si>
  <si>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</si>
  <si>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</si>
  <si>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</si>
  <si>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</si>
  <si>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</si>
  <si>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</si>
  <si>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</si>
  <si>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</si>
  <si>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</si>
  <si>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</si>
  <si>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</si>
  <si>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</si>
  <si>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</si>
  <si>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</si>
  <si>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</si>
  <si>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</si>
  <si>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</si>
  <si>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</si>
  <si>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</si>
  <si>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</si>
  <si>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</si>
  <si>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</si>
  <si>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</si>
  <si>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</si>
  <si>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</si>
  <si>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</si>
  <si>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</si>
  <si>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</si>
  <si>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</si>
  <si>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</si>
  <si>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</si>
  <si>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</si>
  <si>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</si>
  <si>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</si>
  <si>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</si>
  <si>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</si>
  <si>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</si>
  <si>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</si>
  <si>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</si>
  <si>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</si>
  <si>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</si>
  <si>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</si>
  <si>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</si>
  <si>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</si>
  <si>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</si>
  <si>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</si>
  <si>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</si>
  <si>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</si>
  <si>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</si>
  <si>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</si>
  <si>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</si>
  <si>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</si>
  <si>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</si>
  <si>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</si>
  <si>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</si>
  <si>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</si>
  <si>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</si>
  <si>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</si>
  <si>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</si>
  <si>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</si>
  <si>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</si>
  <si>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</si>
  <si>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</si>
  <si>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</si>
  <si>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</si>
  <si>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</si>
  <si>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</si>
  <si>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</si>
  <si>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</si>
  <si>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</si>
  <si>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</si>
  <si>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</si>
  <si>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</si>
  <si>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</si>
  <si>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</si>
  <si>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</si>
  <si>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</si>
  <si>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</si>
  <si>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</si>
  <si>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</si>
  <si>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</si>
  <si>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</si>
  <si>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</si>
  <si>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</si>
  <si>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</si>
  <si>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</si>
  <si>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</si>
  <si>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</si>
  <si>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</si>
  <si>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</si>
  <si>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</si>
  <si>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</si>
  <si>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</si>
  <si>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</si>
  <si>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</si>
  <si>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</si>
  <si>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</si>
  <si>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</si>
  <si>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</si>
  <si>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</si>
  <si>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</si>
  <si>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</si>
  <si>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</si>
  <si>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</si>
  <si>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</si>
  <si>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</si>
  <si>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</si>
  <si>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</si>
  <si>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</si>
  <si>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</si>
  <si>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</si>
  <si>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</si>
  <si>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</si>
  <si>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</si>
  <si>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</si>
  <si>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</si>
  <si>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</si>
  <si>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</si>
  <si>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</si>
  <si>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</si>
  <si>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</si>
  <si>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</si>
  <si>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</si>
  <si>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</si>
  <si>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</si>
  <si>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</si>
  <si>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</si>
  <si>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</si>
  <si>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</si>
  <si>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</si>
  <si>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</si>
  <si>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</si>
  <si>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</si>
  <si>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</si>
  <si>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</si>
  <si>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</si>
  <si>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</si>
  <si>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</si>
  <si>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</si>
  <si>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</si>
  <si>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</si>
  <si>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</si>
  <si>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</si>
  <si>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</si>
  <si>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</si>
  <si>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</si>
  <si>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</si>
  <si>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</si>
  <si>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</si>
  <si>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</si>
  <si>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</si>
  <si>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</si>
  <si>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</si>
  <si>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</si>
  <si>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</si>
  <si>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</si>
  <si>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</si>
  <si>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</si>
  <si>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</si>
  <si>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</si>
  <si>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</si>
  <si>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</si>
  <si>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</si>
  <si>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</si>
  <si>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</si>
  <si>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</si>
  <si>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</si>
  <si>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</si>
  <si>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</si>
  <si>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</si>
  <si>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</si>
  <si>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</si>
  <si>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</si>
  <si>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</si>
  <si>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</si>
  <si>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</si>
  <si>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</si>
  <si>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</si>
  <si>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</si>
  <si>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</si>
  <si>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</si>
  <si>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</si>
  <si>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</si>
  <si>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</si>
  <si>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</si>
  <si>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</si>
  <si>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</si>
  <si>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</si>
  <si>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</si>
  <si>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</si>
  <si>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</si>
  <si>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</si>
  <si>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</si>
  <si>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</si>
  <si>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</si>
  <si>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</si>
  <si>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</si>
  <si>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</si>
  <si>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</si>
  <si>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</si>
  <si>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</si>
  <si>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</si>
  <si>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</si>
  <si>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</si>
  <si>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</si>
  <si>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</si>
  <si>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</si>
  <si>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</si>
  <si>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</si>
  <si>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</si>
  <si>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</si>
  <si>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</si>
  <si>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</si>
  <si>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</si>
  <si>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</si>
  <si>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</si>
  <si>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</si>
  <si>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</si>
  <si>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</si>
  <si>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</si>
  <si>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</si>
  <si>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</si>
  <si>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</si>
  <si>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</si>
  <si>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</si>
  <si>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</si>
  <si>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</si>
  <si>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</si>
  <si>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</si>
  <si>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</si>
  <si>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</si>
  <si>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</si>
  <si>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</si>
  <si>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</si>
  <si>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</si>
  <si>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</si>
  <si>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</si>
  <si>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</si>
  <si>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</si>
  <si>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</si>
  <si>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</si>
  <si>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</si>
  <si>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</si>
  <si>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</si>
  <si>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</si>
  <si>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</si>
  <si>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</si>
  <si>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</si>
  <si>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</si>
  <si>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</si>
  <si>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</si>
  <si>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</si>
  <si>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</si>
  <si>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</si>
  <si>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</si>
  <si>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</si>
  <si>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</si>
  <si>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</si>
  <si>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</si>
  <si>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</si>
  <si>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</si>
  <si>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</si>
  <si>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</si>
  <si>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</si>
  <si>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</si>
  <si>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</si>
  <si>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</si>
  <si>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</si>
  <si>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</si>
  <si>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</si>
  <si>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</si>
  <si>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</si>
  <si>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</si>
  <si>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</si>
  <si>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</si>
  <si>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</si>
  <si>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</si>
  <si>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</si>
  <si>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</si>
  <si>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</si>
  <si>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</si>
  <si>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</si>
  <si>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</si>
  <si>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</si>
  <si>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</si>
  <si>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</si>
  <si>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</si>
  <si>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</si>
  <si>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</si>
  <si>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</si>
  <si>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</si>
  <si>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</si>
  <si>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</si>
  <si>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</si>
  <si>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</si>
  <si>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</si>
  <si>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</si>
  <si>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</si>
  <si>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</si>
  <si>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</si>
  <si>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</si>
  <si>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</si>
  <si>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</si>
  <si>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</si>
  <si>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</si>
  <si>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</si>
  <si>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</si>
  <si>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</si>
  <si>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</si>
  <si>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</si>
  <si>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</si>
  <si>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</si>
  <si>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</si>
  <si>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</si>
  <si>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</si>
  <si>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</si>
  <si>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</si>
  <si>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</si>
  <si>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</si>
  <si>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</si>
  <si>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</si>
  <si>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</si>
  <si>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</si>
  <si>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</si>
  <si>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</si>
  <si>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</si>
  <si>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</si>
  <si>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</si>
  <si>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</si>
  <si>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</si>
  <si>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</si>
  <si>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</si>
  <si>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</si>
  <si>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</si>
  <si>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</si>
  <si>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</si>
  <si>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</si>
  <si>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</si>
  <si>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</si>
  <si>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</si>
  <si>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</si>
  <si>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</si>
  <si>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</si>
  <si>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</si>
  <si>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</si>
  <si>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</si>
  <si>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</si>
  <si>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</si>
  <si>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</si>
  <si>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</si>
  <si>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</si>
  <si>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</si>
  <si>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</si>
  <si>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</si>
  <si>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</si>
  <si>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</si>
  <si>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</si>
  <si>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</si>
  <si>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</si>
  <si>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</si>
  <si>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</si>
  <si>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</si>
  <si>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</si>
  <si>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</si>
  <si>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</si>
  <si>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</si>
  <si>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</si>
  <si>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</si>
  <si>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</si>
  <si>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</si>
  <si>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</si>
  <si>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</si>
  <si>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</si>
  <si>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</si>
  <si>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</si>
  <si>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</si>
  <si>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</si>
  <si>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</si>
  <si>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</si>
  <si>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</si>
  <si>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</si>
  <si>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</si>
  <si>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</si>
  <si>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</si>
  <si>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</si>
  <si>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</si>
  <si>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</si>
  <si>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</si>
  <si>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</si>
  <si>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</si>
  <si>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</si>
  <si>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</si>
  <si>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</si>
  <si>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</si>
  <si>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</si>
  <si>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</si>
  <si>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</si>
  <si>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</si>
  <si>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</si>
  <si>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</si>
  <si>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</si>
  <si>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</si>
  <si>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</si>
  <si>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</si>
  <si>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</si>
  <si>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</si>
  <si>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</si>
  <si>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</si>
  <si>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</si>
  <si>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</si>
  <si>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</si>
  <si>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</si>
  <si>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</si>
  <si>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</si>
  <si>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</si>
  <si>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</si>
  <si>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</si>
  <si>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</si>
  <si>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</si>
  <si>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</si>
  <si>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</si>
  <si>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</si>
  <si>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</si>
  <si>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</si>
  <si>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</si>
  <si>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</si>
  <si>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</si>
  <si>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</si>
  <si>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</si>
  <si>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</si>
  <si>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</si>
  <si>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</si>
  <si>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</si>
  <si>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</si>
  <si>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</si>
  <si>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</si>
  <si>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</si>
  <si>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</si>
  <si>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</si>
  <si>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</si>
  <si>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</si>
  <si>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</si>
  <si>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</si>
  <si>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</si>
  <si>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</si>
  <si>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</si>
  <si>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</si>
  <si>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</si>
  <si>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</si>
  <si>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</si>
  <si>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</si>
  <si>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</si>
  <si>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</si>
  <si>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</si>
  <si>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</si>
  <si>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</si>
  <si>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</si>
  <si>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</si>
  <si>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</si>
  <si>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</si>
  <si>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</si>
  <si>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</si>
  <si>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</si>
  <si>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</si>
  <si>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</si>
  <si>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</si>
  <si>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</si>
  <si>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</si>
  <si>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</si>
  <si>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</si>
  <si>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</si>
  <si>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</si>
  <si>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</si>
  <si>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</si>
  <si>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</si>
  <si>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</si>
  <si>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</si>
  <si>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</si>
  <si>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</si>
  <si>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</si>
  <si>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</si>
  <si>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</si>
  <si>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</si>
  <si>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</si>
  <si>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</si>
  <si>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</si>
  <si>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</si>
  <si>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</si>
  <si>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</si>
  <si>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</si>
  <si>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</si>
  <si>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</si>
  <si>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</si>
  <si>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</si>
  <si>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</si>
  <si>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</si>
  <si>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</si>
  <si>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</si>
  <si>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</si>
  <si>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</si>
  <si>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</si>
  <si>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</si>
  <si>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</si>
  <si>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</si>
  <si>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</si>
  <si>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</si>
  <si>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</si>
  <si>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</si>
  <si>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</si>
  <si>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</si>
  <si>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</si>
  <si>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</si>
  <si>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</si>
  <si>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</si>
  <si>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</si>
  <si>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</si>
  <si>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</si>
  <si>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</si>
  <si>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</si>
  <si>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</si>
  <si>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</si>
  <si>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</si>
  <si>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</si>
  <si>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</si>
  <si>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</si>
  <si>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</si>
  <si>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</si>
  <si>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</si>
  <si>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</si>
  <si>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</si>
  <si>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</si>
  <si>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</si>
  <si>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</si>
  <si>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</si>
  <si>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</si>
  <si>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</si>
  <si>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</si>
  <si>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</si>
  <si>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</si>
  <si>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</si>
  <si>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</si>
  <si>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</si>
  <si>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</si>
  <si>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</si>
  <si>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</si>
  <si>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</si>
  <si>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</si>
  <si>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</si>
  <si>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</si>
  <si>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</si>
  <si>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</si>
  <si>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</si>
  <si>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</si>
  <si>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</si>
  <si>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</si>
  <si>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</si>
  <si>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</si>
  <si>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</si>
  <si>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</si>
  <si>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</si>
  <si>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</si>
  <si>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</si>
  <si>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</si>
  <si>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</si>
  <si>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</si>
  <si>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</si>
  <si>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</si>
  <si>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</si>
  <si>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</si>
  <si>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</si>
  <si>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</si>
  <si>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</si>
  <si>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</si>
  <si>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</si>
  <si>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</si>
  <si>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</si>
  <si>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</si>
  <si>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</si>
  <si>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</si>
  <si>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</si>
  <si>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</si>
  <si>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</si>
  <si>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</si>
  <si>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</si>
  <si>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</si>
  <si>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</si>
  <si>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</si>
  <si>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</si>
  <si>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</si>
  <si>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</si>
  <si>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</si>
  <si>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</si>
  <si>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</si>
  <si>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</si>
  <si>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</si>
  <si>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</si>
  <si>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</si>
  <si>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</si>
  <si>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</si>
  <si>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</si>
  <si>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</si>
  <si>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</si>
  <si>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</si>
  <si>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</si>
  <si>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</si>
  <si>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</si>
  <si>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</si>
  <si>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</si>
  <si>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</si>
  <si>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</si>
  <si>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</si>
  <si>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</si>
  <si>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</si>
  <si>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</si>
  <si>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</si>
  <si>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</si>
  <si>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</si>
  <si>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</si>
  <si>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</si>
  <si>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</si>
  <si>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</si>
  <si>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</si>
  <si>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</si>
  <si>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</si>
  <si>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</si>
  <si>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</si>
  <si>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</si>
  <si>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</si>
  <si>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</si>
  <si>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</si>
  <si>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</si>
  <si>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</si>
  <si>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</si>
  <si>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</si>
  <si>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</si>
  <si>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</si>
  <si>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</si>
  <si>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</si>
  <si>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</si>
  <si>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</si>
  <si>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</si>
  <si>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</si>
  <si>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</si>
  <si>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</si>
  <si>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</si>
  <si>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</si>
  <si>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</si>
  <si>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</si>
  <si>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</si>
  <si>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</si>
  <si>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</si>
  <si>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</si>
  <si>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</si>
  <si>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</si>
  <si>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</si>
  <si>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</si>
  <si>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</si>
  <si>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</si>
  <si>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</si>
  <si>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</si>
  <si>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</si>
  <si>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</si>
  <si>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</si>
  <si>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</si>
  <si>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</si>
  <si>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</si>
  <si>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</si>
  <si>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</si>
  <si>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</si>
  <si>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</si>
  <si>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</si>
  <si>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</si>
  <si>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</si>
  <si>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</si>
  <si>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</si>
  <si>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</si>
  <si>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</si>
  <si>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</si>
  <si>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</si>
  <si>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</si>
  <si>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</si>
  <si>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</si>
  <si>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</si>
  <si>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</si>
  <si>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</si>
  <si>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</si>
  <si>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</si>
  <si>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</si>
  <si>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</si>
  <si>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</si>
  <si>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</si>
  <si>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</si>
  <si>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</si>
  <si>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</si>
  <si>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</si>
  <si>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</si>
  <si>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</si>
  <si>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</si>
  <si>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</si>
  <si>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</si>
  <si>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</si>
  <si>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</si>
  <si>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</si>
  <si>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</si>
  <si>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</si>
  <si>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</si>
  <si>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</si>
  <si>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</si>
  <si>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</si>
  <si>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</si>
  <si>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</si>
  <si>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</si>
  <si>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</si>
  <si>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</si>
  <si>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</si>
  <si>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</si>
  <si>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</si>
  <si>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</si>
  <si>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</si>
  <si>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</si>
  <si>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</si>
  <si>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</si>
  <si>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</si>
  <si>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</si>
  <si>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</si>
  <si>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</si>
  <si>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</si>
  <si>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</si>
  <si>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</si>
  <si>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</si>
  <si>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</si>
  <si>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</si>
  <si>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</si>
  <si>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</si>
  <si>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</si>
  <si>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</si>
  <si>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</si>
  <si>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</si>
  <si>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</si>
  <si>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</si>
  <si>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</si>
  <si>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</si>
  <si>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</si>
  <si>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</si>
  <si>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</si>
  <si>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</si>
  <si>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</si>
  <si>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</si>
  <si>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</si>
  <si>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</si>
  <si>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</si>
  <si>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</si>
  <si>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</si>
  <si>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</si>
  <si>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</si>
  <si>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</si>
  <si>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</si>
  <si>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</si>
  <si>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</si>
  <si>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</si>
  <si>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</si>
  <si>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</si>
  <si>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</si>
  <si>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</si>
  <si>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</si>
  <si>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</si>
  <si>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</si>
  <si>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</si>
  <si>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</si>
  <si>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</si>
  <si>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</si>
  <si>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</si>
  <si>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</si>
  <si>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</si>
  <si>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</si>
  <si>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</si>
  <si>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</si>
  <si>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</si>
  <si>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</si>
  <si>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</si>
  <si>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</si>
  <si>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</si>
  <si>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</si>
  <si>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</si>
  <si>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</si>
  <si>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</si>
  <si>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</si>
  <si>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</si>
  <si>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</si>
  <si>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</si>
  <si>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</si>
  <si>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</si>
  <si>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</si>
  <si>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</si>
  <si>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</si>
  <si>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</si>
  <si>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</si>
  <si>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</si>
  <si>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</si>
  <si>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</si>
  <si>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</si>
  <si>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</si>
  <si>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</si>
  <si>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</si>
  <si>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</si>
  <si>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</si>
  <si>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</si>
  <si>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</si>
  <si>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</si>
  <si>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</si>
  <si>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</si>
  <si>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</si>
  <si>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</si>
  <si>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</si>
  <si>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</si>
  <si>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</si>
  <si>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</si>
  <si>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</si>
  <si>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</si>
  <si>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</si>
  <si>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</si>
  <si>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</si>
  <si>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</si>
  <si>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</si>
  <si>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</si>
  <si>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</si>
  <si>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</si>
  <si>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</si>
  <si>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</si>
  <si>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</si>
  <si>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</si>
  <si>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</si>
  <si>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</si>
  <si>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</si>
  <si>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</si>
  <si>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</si>
  <si>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</si>
  <si>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</si>
  <si>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</si>
  <si>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</si>
  <si>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</si>
  <si>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</si>
  <si>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</si>
  <si>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</si>
  <si>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</si>
  <si>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</si>
  <si>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</si>
  <si>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</si>
  <si>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</si>
  <si>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</si>
  <si>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</si>
  <si>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</si>
  <si>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</si>
  <si>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</si>
  <si>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</si>
  <si>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</si>
  <si>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</si>
  <si>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</si>
  <si>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</si>
  <si>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</si>
  <si>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</si>
  <si>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</si>
  <si>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</si>
  <si>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</si>
  <si>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</si>
  <si>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</si>
  <si>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</si>
  <si>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</si>
  <si>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</si>
  <si>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</si>
  <si>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</si>
  <si>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</si>
  <si>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</si>
  <si>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</si>
  <si>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</si>
  <si>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</si>
  <si>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</si>
  <si>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</si>
  <si>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</si>
  <si>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</si>
  <si>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</si>
  <si>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</si>
  <si>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</si>
  <si>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</si>
  <si>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</si>
  <si>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</si>
  <si>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</si>
  <si>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</si>
  <si>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</si>
  <si>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</si>
  <si>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</si>
  <si>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</si>
  <si>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</si>
  <si>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</si>
  <si>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</si>
  <si>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</si>
  <si>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</si>
  <si>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</si>
  <si>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</si>
  <si>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</si>
  <si>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</si>
  <si>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</si>
  <si>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</si>
  <si>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</si>
  <si>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</si>
  <si>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</si>
  <si>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</si>
  <si>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</si>
  <si>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</si>
  <si>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</si>
  <si>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</si>
  <si>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</si>
  <si>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</si>
  <si>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</si>
  <si>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</si>
  <si>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</si>
  <si>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</si>
  <si>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</si>
  <si>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</si>
  <si>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</si>
  <si>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</si>
  <si>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</si>
  <si>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</si>
  <si>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</si>
  <si>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</si>
  <si>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</si>
  <si>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</si>
  <si>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</si>
  <si>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</si>
  <si>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</si>
  <si>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</si>
  <si>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</si>
  <si>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</si>
  <si>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</si>
  <si>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</si>
  <si>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</si>
  <si>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</si>
  <si>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</si>
  <si>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</si>
  <si>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</si>
  <si>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</si>
  <si>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</si>
  <si>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</si>
  <si>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</si>
  <si>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</si>
  <si>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</si>
  <si>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</si>
  <si>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</si>
  <si>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</si>
  <si>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</si>
  <si>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</si>
  <si>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</si>
  <si>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</si>
  <si>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</si>
  <si>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</si>
  <si>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</si>
  <si>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</si>
  <si>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</si>
  <si>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</si>
  <si>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</si>
  <si>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</si>
  <si>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</si>
  <si>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</si>
  <si>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</si>
  <si>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</si>
  <si>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</si>
  <si>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</si>
  <si>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</si>
  <si>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</si>
  <si>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</si>
  <si>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</si>
  <si>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</si>
  <si>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</si>
  <si>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</si>
  <si>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</si>
  <si>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</si>
  <si>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</si>
  <si>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</si>
  <si>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</si>
  <si>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</si>
  <si>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</si>
  <si>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</si>
  <si>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</si>
  <si>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</si>
  <si>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</si>
  <si>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</si>
  <si>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</si>
  <si>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</si>
  <si>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</si>
  <si>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</si>
  <si>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</si>
  <si>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</si>
  <si>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</si>
  <si>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</si>
  <si>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</si>
  <si>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</si>
  <si>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</si>
  <si>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</si>
  <si>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</si>
  <si>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</si>
  <si>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</si>
  <si>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</si>
  <si>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</si>
  <si>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</si>
  <si>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</si>
  <si>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</si>
  <si>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</si>
  <si>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</si>
  <si>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</si>
  <si>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</si>
  <si>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</si>
  <si>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</si>
  <si>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</si>
  <si>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</si>
  <si>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</si>
  <si>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</si>
  <si>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</si>
  <si>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</si>
  <si>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</si>
  <si>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</si>
  <si>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</si>
  <si>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</si>
  <si>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</si>
  <si>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</si>
  <si>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</si>
  <si>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</si>
  <si>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</si>
  <si>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</si>
  <si>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</si>
  <si>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</si>
  <si>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</si>
  <si>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</si>
  <si>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</si>
  <si>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</si>
  <si>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</si>
  <si>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</si>
  <si>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</si>
  <si>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</si>
  <si>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</si>
  <si>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</si>
  <si>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</si>
  <si>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</si>
  <si>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</si>
  <si>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</si>
  <si>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</si>
  <si>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</si>
  <si>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</si>
  <si>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</si>
  <si>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</si>
  <si>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</si>
  <si>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</si>
  <si>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</si>
  <si>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</si>
  <si>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</si>
  <si>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</si>
  <si>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</si>
  <si>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</si>
  <si>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</si>
  <si>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</si>
  <si>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</si>
  <si>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</si>
  <si>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</si>
  <si>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</si>
  <si>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</si>
  <si>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</si>
  <si>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</si>
  <si>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</si>
  <si>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</si>
  <si>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</si>
  <si>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</si>
  <si>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</si>
  <si>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</si>
  <si>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</si>
  <si>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</si>
  <si>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</si>
  <si>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</si>
  <si>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</si>
  <si>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</si>
  <si>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</si>
  <si>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</si>
  <si>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</si>
  <si>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</si>
  <si>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</si>
  <si>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</si>
  <si>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</si>
  <si>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</si>
  <si>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</si>
  <si>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</si>
  <si>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</si>
  <si>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</si>
  <si>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</si>
  <si>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</si>
  <si>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</si>
  <si>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</si>
  <si>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</si>
  <si>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</si>
  <si>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</si>
  <si>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</si>
  <si>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</si>
  <si>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</si>
  <si>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</si>
  <si>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</si>
  <si>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</si>
  <si>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</si>
  <si>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</si>
  <si>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</si>
  <si>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</si>
  <si>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</si>
  <si>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</si>
  <si>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</si>
  <si>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</si>
  <si>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</si>
  <si>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</si>
  <si>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</si>
  <si>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</si>
  <si>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</si>
  <si>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</si>
  <si>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</si>
  <si>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</si>
  <si>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</si>
  <si>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</si>
  <si>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</si>
  <si>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</si>
  <si>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</si>
  <si>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</si>
  <si>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</si>
  <si>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</si>
  <si>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</si>
  <si>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</si>
  <si>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</si>
  <si>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</si>
  <si>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</si>
  <si>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</si>
  <si>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</si>
  <si>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</si>
  <si>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</si>
  <si>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</si>
  <si>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</si>
  <si>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</si>
  <si>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</si>
  <si>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</si>
  <si>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</si>
  <si>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</si>
  <si>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</si>
  <si>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</si>
  <si>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</si>
  <si>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</si>
  <si>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</si>
  <si>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</si>
  <si>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</si>
  <si>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</si>
  <si>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</si>
  <si>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</si>
  <si>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</si>
  <si>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</si>
  <si>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</si>
  <si>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</si>
  <si>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</si>
  <si>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</si>
  <si>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</si>
  <si>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</si>
  <si>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</si>
  <si>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</si>
  <si>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</si>
  <si>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</si>
  <si>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</si>
  <si>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</si>
  <si>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</si>
  <si>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</si>
  <si>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</si>
  <si>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</si>
  <si>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</si>
  <si>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</si>
  <si>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</si>
  <si>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</si>
  <si>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</si>
  <si>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</si>
  <si>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</si>
  <si>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</si>
  <si>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</si>
  <si>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</si>
  <si>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</si>
  <si>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</si>
  <si>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</si>
  <si>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</si>
  <si>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</si>
  <si>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</si>
  <si>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</si>
  <si>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</si>
  <si>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</si>
  <si>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</si>
  <si>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</si>
  <si>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</si>
  <si>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</si>
  <si>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</si>
  <si>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</si>
  <si>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</si>
  <si>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</si>
  <si>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</si>
  <si>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</si>
  <si>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</si>
  <si>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</si>
  <si>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</si>
  <si>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</si>
  <si>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</si>
  <si>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</si>
  <si>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</si>
  <si>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</si>
  <si>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</si>
  <si>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</si>
  <si>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</si>
  <si>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</si>
  <si>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</si>
  <si>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</si>
  <si>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</si>
  <si>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</si>
  <si>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</si>
  <si>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</si>
  <si>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</si>
  <si>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</si>
  <si>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</si>
  <si>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</si>
  <si>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</si>
  <si>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</si>
  <si>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</si>
  <si>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</si>
  <si>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</si>
  <si>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</si>
  <si>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</si>
  <si>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</si>
  <si>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</si>
  <si>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</si>
  <si>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</si>
  <si>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</si>
  <si>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</si>
  <si>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</si>
  <si>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</si>
  <si>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</si>
  <si>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</si>
  <si>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</si>
  <si>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</si>
  <si>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</si>
  <si>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</si>
  <si>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</si>
  <si>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</si>
  <si>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</si>
  <si>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</si>
  <si>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</si>
  <si>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</si>
  <si>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</si>
  <si>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</si>
  <si>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</si>
  <si>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</si>
  <si>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</si>
  <si>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</si>
  <si>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</si>
  <si>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</si>
  <si>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</si>
  <si>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</si>
  <si>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</si>
  <si>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</si>
  <si>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</si>
  <si>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</si>
  <si>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</si>
  <si>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</si>
  <si>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</si>
  <si>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</si>
  <si>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</si>
  <si>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</si>
  <si>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</si>
  <si>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</si>
  <si>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</si>
  <si>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</si>
  <si>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</si>
  <si>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</si>
  <si>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</si>
  <si>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</si>
  <si>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</si>
  <si>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</si>
  <si>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</si>
  <si>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</si>
  <si>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</si>
  <si>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</si>
  <si>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</si>
  <si>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</si>
  <si>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</si>
  <si>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</si>
  <si>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</si>
  <si>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</si>
  <si>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</si>
  <si>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</si>
  <si>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</si>
  <si>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</si>
  <si>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</si>
  <si>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</si>
  <si>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</si>
  <si>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</si>
  <si>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</si>
  <si>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</si>
  <si>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</si>
  <si>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</si>
  <si>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</si>
  <si>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</si>
  <si>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</si>
  <si>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</si>
  <si>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</si>
  <si>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</si>
  <si>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</si>
  <si>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</si>
  <si>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</si>
  <si>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</si>
  <si>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</si>
  <si>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</si>
  <si>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</si>
  <si>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</si>
  <si>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</si>
  <si>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</si>
  <si>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</si>
  <si>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</si>
  <si>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</si>
  <si>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</si>
  <si>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</si>
  <si>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</si>
  <si>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</si>
  <si>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</si>
  <si>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</si>
  <si>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</si>
  <si>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</si>
  <si>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</si>
  <si>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</si>
  <si>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</si>
  <si>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</si>
  <si>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</si>
  <si>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</si>
  <si>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</si>
  <si>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</si>
  <si>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</si>
  <si>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</si>
  <si>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</si>
  <si>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</si>
  <si>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</si>
  <si>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</si>
  <si>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</si>
  <si>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</si>
  <si>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</si>
  <si>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</si>
  <si>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</si>
  <si>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</si>
  <si>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</si>
  <si>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</si>
  <si>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</si>
  <si>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</si>
  <si>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</si>
  <si>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</si>
  <si>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</si>
  <si>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</si>
  <si>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</si>
  <si>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</si>
  <si>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</si>
  <si>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</si>
  <si>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</si>
  <si>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</si>
  <si>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</si>
  <si>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</si>
  <si>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</si>
  <si>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</si>
  <si>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</si>
  <si>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</si>
  <si>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</si>
  <si>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</si>
  <si>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</si>
  <si>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</si>
  <si>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</si>
  <si>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</si>
  <si>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</si>
  <si>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</si>
  <si>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</si>
  <si>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</si>
  <si>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</si>
  <si>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</si>
  <si>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</si>
  <si>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</si>
  <si>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</si>
  <si>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</si>
  <si>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</si>
  <si>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</si>
  <si>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</si>
  <si>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</si>
  <si>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</si>
  <si>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</si>
  <si>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</si>
  <si>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</si>
  <si>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</si>
  <si>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</si>
  <si>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</si>
  <si>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</si>
  <si>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</si>
  <si>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</si>
  <si>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</si>
  <si>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</si>
  <si>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</si>
  <si>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</si>
  <si>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</si>
  <si>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</si>
  <si>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</si>
  <si>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</si>
  <si>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</si>
  <si>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</si>
  <si>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</si>
  <si>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</si>
  <si>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</si>
  <si>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</si>
  <si>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</si>
  <si>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</si>
  <si>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</si>
  <si>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</si>
  <si>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</si>
  <si>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</si>
  <si>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</si>
  <si>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</si>
  <si>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</si>
  <si>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</si>
  <si>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</si>
  <si>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</si>
  <si>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</si>
  <si>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</si>
  <si>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</si>
  <si>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</si>
  <si>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</si>
  <si>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</si>
  <si>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</si>
  <si>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</si>
  <si>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</si>
  <si>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</si>
  <si>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</si>
  <si>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</si>
  <si>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</si>
  <si>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</si>
  <si>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</si>
  <si>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</si>
  <si>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</si>
  <si>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</si>
  <si>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</si>
  <si>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</si>
  <si>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</si>
  <si>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</si>
  <si>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</si>
  <si>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</si>
  <si>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</si>
  <si>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</si>
  <si>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</si>
  <si>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</si>
  <si>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</si>
  <si>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</si>
  <si>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</si>
  <si>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</si>
  <si>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</si>
  <si>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</si>
  <si>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</si>
  <si>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</si>
  <si>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</si>
  <si>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</si>
  <si>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</si>
  <si>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</si>
  <si>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</si>
  <si>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</si>
  <si>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</si>
  <si>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</si>
  <si>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</si>
  <si>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</si>
  <si>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</si>
  <si>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</si>
  <si>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</si>
  <si>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</si>
  <si>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</si>
  <si>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</si>
  <si>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</si>
  <si>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</si>
  <si>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</si>
  <si>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</si>
  <si>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</si>
  <si>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</si>
  <si>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</si>
  <si>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</si>
  <si>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</si>
  <si>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</si>
  <si>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</si>
  <si>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</si>
  <si>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</si>
  <si>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</si>
  <si>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</si>
  <si>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</si>
  <si>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</si>
  <si>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</si>
  <si>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</si>
  <si>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</si>
  <si>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</si>
  <si>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</si>
  <si>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</si>
  <si>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</si>
  <si>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</si>
  <si>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</si>
  <si>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</si>
  <si>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</si>
  <si>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</si>
  <si>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</si>
  <si>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</si>
  <si>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</si>
  <si>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</si>
  <si>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</si>
  <si>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</si>
  <si>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</si>
  <si>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</si>
  <si>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</si>
  <si>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</si>
  <si>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</si>
  <si>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</si>
  <si>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</si>
  <si>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</si>
  <si>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</si>
  <si>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</si>
  <si>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</si>
  <si>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</si>
  <si>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</si>
  <si>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</si>
  <si>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</si>
  <si>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</si>
  <si>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</si>
  <si>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</si>
  <si>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</si>
  <si>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</si>
  <si>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</si>
  <si>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</si>
  <si>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</si>
  <si>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</si>
  <si>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</si>
  <si>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</si>
  <si>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</si>
  <si>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</si>
  <si>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</si>
  <si>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</si>
  <si>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</si>
  <si>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</si>
  <si>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</si>
  <si>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</si>
  <si>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</si>
  <si>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</si>
  <si>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</si>
  <si>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</si>
  <si>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</si>
  <si>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</si>
  <si>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</si>
  <si>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</si>
  <si>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</si>
  <si>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</si>
  <si>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</si>
  <si>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</si>
  <si>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</si>
  <si>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</si>
  <si>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</si>
  <si>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</si>
  <si>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</si>
  <si>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</si>
  <si>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</si>
  <si>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</si>
  <si>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</si>
  <si>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</si>
  <si>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</si>
  <si>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</si>
  <si>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</si>
  <si>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</si>
  <si>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</si>
  <si>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</si>
  <si>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</si>
  <si>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</si>
  <si>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</si>
  <si>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</si>
  <si>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</si>
  <si>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</si>
  <si>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</si>
  <si>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</si>
  <si>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</si>
  <si>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</si>
  <si>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</si>
  <si>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</si>
  <si>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</si>
  <si>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</si>
  <si>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</si>
  <si>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</si>
  <si>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</si>
  <si>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</si>
  <si>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</si>
  <si>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</si>
  <si>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</si>
  <si>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</si>
  <si>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</si>
  <si>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</si>
  <si>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</si>
  <si>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</si>
  <si>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</si>
  <si>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</si>
  <si>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</si>
  <si>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</si>
  <si>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</si>
  <si>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</si>
  <si>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</si>
  <si>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</si>
  <si>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</si>
  <si>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</si>
  <si>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</si>
  <si>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</si>
  <si>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</si>
  <si>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</si>
  <si>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</si>
  <si>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</si>
  <si>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</si>
  <si>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</si>
  <si>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</si>
  <si>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</si>
  <si>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</si>
  <si>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</si>
  <si>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</si>
  <si>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</si>
  <si>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</si>
  <si>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</si>
  <si>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</si>
  <si>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</si>
  <si>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</si>
  <si>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</si>
  <si>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</si>
  <si>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</si>
  <si>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</si>
  <si>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</si>
  <si>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</si>
  <si>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</si>
  <si>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</si>
  <si>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</si>
  <si>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</si>
  <si>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</si>
  <si>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</si>
  <si>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</si>
  <si>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</si>
  <si>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</si>
  <si>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</si>
  <si>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</si>
  <si>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</si>
  <si>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</si>
  <si>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</si>
  <si>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</si>
  <si>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</si>
  <si>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</si>
  <si>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</si>
  <si>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</si>
  <si>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</si>
  <si>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</si>
  <si>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</si>
  <si>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</si>
  <si>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</si>
  <si>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</si>
  <si>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</si>
  <si>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</si>
  <si>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</si>
  <si>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</si>
  <si>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</si>
  <si>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</si>
  <si>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</si>
  <si>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</si>
  <si>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</si>
  <si>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</si>
  <si>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</si>
  <si>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</si>
  <si>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</si>
  <si>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</si>
  <si>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</si>
  <si>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</si>
  <si>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</si>
  <si>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</si>
  <si>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</si>
  <si>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</si>
  <si>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</si>
  <si>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</si>
  <si>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</si>
  <si>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</si>
  <si>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</si>
  <si>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</si>
  <si>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</si>
  <si>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</si>
  <si>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</si>
  <si>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</si>
  <si>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</si>
  <si>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</si>
  <si>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</si>
  <si>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</si>
  <si>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</si>
  <si>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</si>
  <si>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</si>
  <si>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</si>
  <si>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</si>
  <si>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</si>
  <si>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</si>
  <si>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</si>
  <si>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</si>
  <si>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</si>
  <si>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</si>
  <si>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</si>
  <si>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</si>
  <si>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</si>
  <si>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</si>
  <si>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</si>
  <si>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</si>
  <si>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</si>
  <si>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</si>
  <si>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</si>
  <si>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</si>
  <si>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</si>
  <si>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</si>
  <si>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</si>
  <si>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</si>
  <si>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</si>
  <si>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</si>
  <si>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</si>
  <si>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</si>
  <si>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</si>
  <si>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</si>
  <si>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</si>
  <si>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</si>
  <si>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</si>
  <si>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</si>
  <si>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</si>
  <si>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</si>
  <si>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</si>
  <si>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</si>
  <si>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</si>
  <si>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</si>
  <si>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</si>
  <si>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</si>
  <si>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</si>
  <si>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</si>
  <si>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</si>
  <si>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</si>
  <si>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</si>
  <si>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</si>
  <si>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</si>
  <si>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</si>
  <si>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</si>
  <si>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</si>
  <si>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</si>
  <si>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</si>
  <si>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</si>
  <si>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</si>
  <si>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</si>
  <si>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</si>
  <si>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</si>
  <si>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</si>
  <si>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</si>
  <si>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</si>
  <si>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</si>
  <si>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</si>
  <si>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</si>
  <si>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</si>
  <si>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</si>
  <si>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</si>
  <si>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</si>
  <si>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</si>
  <si>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</si>
  <si>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</si>
  <si>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</si>
  <si>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</si>
  <si>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</si>
  <si>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</si>
  <si>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</si>
  <si>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</si>
  <si>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</si>
  <si>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</si>
  <si>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</si>
  <si>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</si>
  <si>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</si>
  <si>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</si>
  <si>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</si>
  <si>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</si>
  <si>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</si>
  <si>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</si>
  <si>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</si>
  <si>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</si>
  <si>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</si>
  <si>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</si>
  <si>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</si>
  <si>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</si>
  <si>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</si>
  <si>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</si>
  <si>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</si>
  <si>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</si>
  <si>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</si>
  <si>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</si>
  <si>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</si>
  <si>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</si>
  <si>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</si>
  <si>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</si>
  <si>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</si>
  <si>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</si>
  <si>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</si>
  <si>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</si>
  <si>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</si>
  <si>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</si>
  <si>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</si>
  <si>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</si>
  <si>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</si>
  <si>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</si>
  <si>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</si>
  <si>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</si>
  <si>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</si>
  <si>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</si>
  <si>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</si>
  <si>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</si>
  <si>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</si>
  <si>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</si>
  <si>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</si>
  <si>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</si>
  <si>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</si>
  <si>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</si>
  <si>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</si>
  <si>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</si>
  <si>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</si>
  <si>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</si>
  <si>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</si>
  <si>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</si>
  <si>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</si>
  <si>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</si>
  <si>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</si>
  <si>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</si>
  <si>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</si>
  <si>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</si>
  <si>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</si>
  <si>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</si>
  <si>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</si>
  <si>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</si>
  <si>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</si>
  <si>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</si>
  <si>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</si>
  <si>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</si>
  <si>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</si>
  <si>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</si>
  <si>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</si>
  <si>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</si>
  <si>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</si>
  <si>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</si>
  <si>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</si>
  <si>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</si>
  <si>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</si>
  <si>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</si>
  <si>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</si>
  <si>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</si>
  <si>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</si>
  <si>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</si>
  <si>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</si>
  <si>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</si>
  <si>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</si>
  <si>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</si>
  <si>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</si>
  <si>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</si>
  <si>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</si>
  <si>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</si>
  <si>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</si>
  <si>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</si>
  <si>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</si>
  <si>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</si>
  <si>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</si>
  <si>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</si>
  <si>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</si>
  <si>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</si>
  <si>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</si>
  <si>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</si>
  <si>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</si>
  <si>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</si>
  <si>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</si>
  <si>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</si>
  <si>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</si>
  <si>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</si>
  <si>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</si>
  <si>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</si>
  <si>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</si>
  <si>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</si>
  <si>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</si>
  <si>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</si>
  <si>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</si>
  <si>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</si>
  <si>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</si>
  <si>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</si>
  <si>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</si>
  <si>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</si>
  <si>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</si>
  <si>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</si>
  <si>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</si>
  <si>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</si>
  <si>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</si>
  <si>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</si>
  <si>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</si>
  <si>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</si>
  <si>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</si>
  <si>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</si>
  <si>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</si>
  <si>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</si>
  <si>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</si>
  <si>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</si>
  <si>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</si>
  <si>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</si>
  <si>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</si>
  <si>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</si>
  <si>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</si>
  <si>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</si>
  <si>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</si>
  <si>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</si>
  <si>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</si>
  <si>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</si>
  <si>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</si>
  <si>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</si>
  <si>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</si>
  <si>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</si>
  <si>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</si>
  <si>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</si>
  <si>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</si>
  <si>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</si>
  <si>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</si>
  <si>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</si>
  <si>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</si>
  <si>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</si>
  <si>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</si>
  <si>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</si>
  <si>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</si>
  <si>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</si>
  <si>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</si>
  <si>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</si>
  <si>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</si>
  <si>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</si>
  <si>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</si>
  <si>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</si>
  <si>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</si>
  <si>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</si>
  <si>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</si>
  <si>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</si>
  <si>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</si>
  <si>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</si>
  <si>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</si>
  <si>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</si>
  <si>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</si>
  <si>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</si>
  <si>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</si>
  <si>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</si>
  <si>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</si>
  <si>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</si>
  <si>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</si>
  <si>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</si>
  <si>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</si>
  <si>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</si>
  <si>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</si>
  <si>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</si>
  <si>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</si>
  <si>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</si>
  <si>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</si>
  <si>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</si>
  <si>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</si>
  <si>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</si>
  <si>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</si>
  <si>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</si>
  <si>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</si>
  <si>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</si>
  <si>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</si>
  <si>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</si>
  <si>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</si>
  <si>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</si>
  <si>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</si>
  <si>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</si>
  <si>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</si>
  <si>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</si>
  <si>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</si>
  <si>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</si>
  <si>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</si>
  <si>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</si>
  <si>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</si>
  <si>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</si>
  <si>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</si>
  <si>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</si>
  <si>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</si>
  <si>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</si>
  <si>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</si>
  <si>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</si>
  <si>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</si>
  <si>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</si>
  <si>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</si>
  <si>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</si>
  <si>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</si>
  <si>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</si>
  <si>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</si>
  <si>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</si>
  <si>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</si>
  <si>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</si>
  <si>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</si>
  <si>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</si>
  <si>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</si>
  <si>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</si>
  <si>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</si>
  <si>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</si>
  <si>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</si>
  <si>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</si>
  <si>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</si>
  <si>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</si>
  <si>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</si>
  <si>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</si>
  <si>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</si>
  <si>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</si>
  <si>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</si>
  <si>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</si>
  <si>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</si>
  <si>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</si>
  <si>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</si>
  <si>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</si>
  <si>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</si>
  <si>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</si>
  <si>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</si>
  <si>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</si>
  <si>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</si>
  <si>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</si>
  <si>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</si>
  <si>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</si>
  <si>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</si>
  <si>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</si>
  <si>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</si>
  <si>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</si>
  <si>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</si>
  <si>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</si>
  <si>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</si>
  <si>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</si>
  <si>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</si>
  <si>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</si>
  <si>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</si>
  <si>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</si>
  <si>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</si>
  <si>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</si>
  <si>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</si>
  <si>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</si>
  <si>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</si>
  <si>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</si>
  <si>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</si>
  <si>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</si>
  <si>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</si>
  <si>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</si>
  <si>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</si>
  <si>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</si>
  <si>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</si>
  <si>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</si>
  <si>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</si>
  <si>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</si>
  <si>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</si>
  <si>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</si>
  <si>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</si>
  <si>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</si>
  <si>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</si>
  <si>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</si>
  <si>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</si>
  <si>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</si>
  <si>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</si>
  <si>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</si>
  <si>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</si>
  <si>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</si>
  <si>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</si>
  <si>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</si>
  <si>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</si>
  <si>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</si>
  <si>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</si>
  <si>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</si>
  <si>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</si>
  <si>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</si>
  <si>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</si>
  <si>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</si>
  <si>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</si>
  <si>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</si>
  <si>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</si>
  <si>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</si>
  <si>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</si>
  <si>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</si>
  <si>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</si>
  <si>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</si>
  <si>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</si>
  <si>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</si>
  <si>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</si>
  <si>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</si>
  <si>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</si>
  <si>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</si>
  <si>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</si>
  <si>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</si>
  <si>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</si>
  <si>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</si>
  <si>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</si>
  <si>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</si>
  <si>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</si>
  <si>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</si>
  <si>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</si>
  <si>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</si>
  <si>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</si>
  <si>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</si>
  <si>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</si>
  <si>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</si>
  <si>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</si>
  <si>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</si>
  <si>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</si>
  <si>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</si>
  <si>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</si>
  <si>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</si>
  <si>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</si>
  <si>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</si>
  <si>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</si>
  <si>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</si>
  <si>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</si>
  <si>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</si>
  <si>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</si>
  <si>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</si>
  <si>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</si>
  <si>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</si>
  <si>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</si>
  <si>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</si>
  <si>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</si>
  <si>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</si>
  <si>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</si>
  <si>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</si>
  <si>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</si>
  <si>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</si>
  <si>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</si>
  <si>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</si>
  <si>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</si>
  <si>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</si>
  <si>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</si>
  <si>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</si>
  <si>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</si>
  <si>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</si>
  <si>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</si>
  <si>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</si>
  <si>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</si>
  <si>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</si>
  <si>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</si>
  <si>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</si>
  <si>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</si>
  <si>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</si>
  <si>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</si>
  <si>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</si>
  <si>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</si>
  <si>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</si>
  <si>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</si>
  <si>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</si>
  <si>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</si>
  <si>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</si>
  <si>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</si>
  <si>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</si>
  <si>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</si>
  <si>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</si>
  <si>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</si>
  <si>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</si>
  <si>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</si>
  <si>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</si>
  <si>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</si>
  <si>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</si>
  <si>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</si>
  <si>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</si>
  <si>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</si>
  <si>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</si>
  <si>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</si>
  <si>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</si>
  <si>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</si>
  <si>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</si>
  <si>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</si>
  <si>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</si>
  <si>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</si>
  <si>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</si>
  <si>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</si>
  <si>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</si>
  <si>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</si>
  <si>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</si>
  <si>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</si>
  <si>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</si>
  <si>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</si>
  <si>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</si>
  <si>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</si>
  <si>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</si>
  <si>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</si>
  <si>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</si>
  <si>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</si>
  <si>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</si>
  <si>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</si>
  <si>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</si>
  <si>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</si>
  <si>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</si>
  <si>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</si>
  <si>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</si>
  <si>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</si>
  <si>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</si>
  <si>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</si>
  <si>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</si>
  <si>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</si>
  <si>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</si>
  <si>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</si>
  <si>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</si>
  <si>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</si>
  <si>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</si>
  <si>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</si>
  <si>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</si>
  <si>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</si>
  <si>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</si>
  <si>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</si>
  <si>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</si>
  <si>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</si>
  <si>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</si>
  <si>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</si>
  <si>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</si>
  <si>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</si>
  <si>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</si>
  <si>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</si>
  <si>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</si>
  <si>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</si>
  <si>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</si>
  <si>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</si>
  <si>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</si>
  <si>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</si>
  <si>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</si>
  <si>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</si>
  <si>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</si>
  <si>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</si>
  <si>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</si>
  <si>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</si>
  <si>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</si>
  <si>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</si>
  <si>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</si>
  <si>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</si>
  <si>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</si>
  <si>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</si>
  <si>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</si>
  <si>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</si>
  <si>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</si>
  <si>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</si>
  <si>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</si>
  <si>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</si>
  <si>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</si>
  <si>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</si>
  <si>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</si>
  <si>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</si>
  <si>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</si>
  <si>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</si>
  <si>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</si>
  <si>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</si>
  <si>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</si>
  <si>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</si>
  <si>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</si>
  <si>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</si>
  <si>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</si>
  <si>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</si>
  <si>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</si>
  <si>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</si>
  <si>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</si>
  <si>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</si>
  <si>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</si>
  <si>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</si>
  <si>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</si>
  <si>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</si>
  <si>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</si>
  <si>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</si>
  <si>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</si>
  <si>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</si>
  <si>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</si>
  <si>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</si>
  <si>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</si>
  <si>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</si>
  <si>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</si>
  <si>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</si>
  <si>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</si>
  <si>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</si>
  <si>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</si>
  <si>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</si>
  <si>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</si>
  <si>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</si>
  <si>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</si>
  <si>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</si>
  <si>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</si>
  <si>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</si>
  <si>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</si>
  <si>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</si>
  <si>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</si>
  <si>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</si>
  <si>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</si>
  <si>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</si>
  <si>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</si>
  <si>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</si>
  <si>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</si>
  <si>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</si>
  <si>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</si>
  <si>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</si>
  <si>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</si>
  <si>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</si>
  <si>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</si>
  <si>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</si>
  <si>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</si>
  <si>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</si>
  <si>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</si>
  <si>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</si>
  <si>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</si>
  <si>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</si>
  <si>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</si>
  <si>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</si>
  <si>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</si>
  <si>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</si>
  <si>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</si>
  <si>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</si>
  <si>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</si>
  <si>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</si>
  <si>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</si>
  <si>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</si>
  <si>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</si>
  <si>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</si>
  <si>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</si>
  <si>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</si>
  <si>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</si>
  <si>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</si>
  <si>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</si>
  <si>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</si>
  <si>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</si>
  <si>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</si>
  <si>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</si>
  <si>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</si>
  <si>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</si>
  <si>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</si>
  <si>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</si>
  <si>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</si>
  <si>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</si>
  <si>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</si>
  <si>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</si>
  <si>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</si>
  <si>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</si>
  <si>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</si>
  <si>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</si>
  <si>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</si>
  <si>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</si>
  <si>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</si>
  <si>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</si>
  <si>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</si>
  <si>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</si>
  <si>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</si>
  <si>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</si>
  <si>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</si>
  <si>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</si>
  <si>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</si>
  <si>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</si>
  <si>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</si>
  <si>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</si>
  <si>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</si>
  <si>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</si>
  <si>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</si>
  <si>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</si>
  <si>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</si>
  <si>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</si>
  <si>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</si>
  <si>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</si>
  <si>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</si>
  <si>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</si>
  <si>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</si>
  <si>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</si>
  <si>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</si>
  <si>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</si>
  <si>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</si>
  <si>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</si>
  <si>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</si>
  <si>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</si>
  <si>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</si>
  <si>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</si>
  <si>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</si>
  <si>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</si>
  <si>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</si>
  <si>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</si>
  <si>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</si>
  <si>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</si>
  <si>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</si>
  <si>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</si>
  <si>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</si>
  <si>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</si>
  <si>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</si>
  <si>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</si>
  <si>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</si>
  <si>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</si>
  <si>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</si>
  <si>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</si>
  <si>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</si>
  <si>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</si>
  <si>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</si>
  <si>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</si>
  <si>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</si>
  <si>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</si>
  <si>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</si>
  <si>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</si>
  <si>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</si>
  <si>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</si>
  <si>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</si>
  <si>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</si>
  <si>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</si>
  <si>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</si>
  <si>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</si>
  <si>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</si>
  <si>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</si>
  <si>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</si>
  <si>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</si>
  <si>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</si>
  <si>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</si>
  <si>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</si>
  <si>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</si>
  <si>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</si>
  <si>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</si>
  <si>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</si>
  <si>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</si>
  <si>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</si>
  <si>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</si>
  <si>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</si>
  <si>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</si>
  <si>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</si>
  <si>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</si>
  <si>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</si>
  <si>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</si>
  <si>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</si>
  <si>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</si>
  <si>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</si>
  <si>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</si>
  <si>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</si>
  <si>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</si>
  <si>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</si>
  <si>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</si>
  <si>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</si>
  <si>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</si>
  <si>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</si>
  <si>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</si>
  <si>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</si>
  <si>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</si>
  <si>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</si>
  <si>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</si>
  <si>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</si>
  <si>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</si>
  <si>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</si>
  <si>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</si>
  <si>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</si>
  <si>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</si>
  <si>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</si>
  <si>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</si>
  <si>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</si>
  <si>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</si>
  <si>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</si>
  <si>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</si>
  <si>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</si>
  <si>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</si>
  <si>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</si>
  <si>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</si>
  <si>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</si>
  <si>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</si>
  <si>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</si>
  <si>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</si>
  <si>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</si>
  <si>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</si>
  <si>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</si>
  <si>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</si>
  <si>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</si>
  <si>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</si>
  <si>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</si>
  <si>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</si>
  <si>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</si>
  <si>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</si>
  <si>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</si>
  <si>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</si>
  <si>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</si>
  <si>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</si>
  <si>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</si>
  <si>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</si>
  <si>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</si>
  <si>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</si>
  <si>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</si>
  <si>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</si>
  <si>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</si>
  <si>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</si>
  <si>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</si>
  <si>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</si>
  <si>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</si>
  <si>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</si>
  <si>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</si>
  <si>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</si>
  <si>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</si>
  <si>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</si>
  <si>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</si>
  <si>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</si>
  <si>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</si>
  <si>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</si>
  <si>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</si>
  <si>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</si>
  <si>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</si>
  <si>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</si>
  <si>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</si>
  <si>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</si>
  <si>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</si>
  <si>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</si>
  <si>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</si>
  <si>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</si>
  <si>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</si>
  <si>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</si>
  <si>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</si>
  <si>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</si>
  <si>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</si>
  <si>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</si>
  <si>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</si>
  <si>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</si>
  <si>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</si>
  <si>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</si>
  <si>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</si>
  <si>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</si>
  <si>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</si>
  <si>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</si>
  <si>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</si>
  <si>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</si>
  <si>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</si>
  <si>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</si>
  <si>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</si>
  <si>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</si>
  <si>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</si>
  <si>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</si>
  <si>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</si>
  <si>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</si>
  <si>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</si>
  <si>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</si>
  <si>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</si>
  <si>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</si>
  <si>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</si>
  <si>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</si>
  <si>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</si>
  <si>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</si>
  <si>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</si>
  <si>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</si>
  <si>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</si>
  <si>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</si>
  <si>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</si>
  <si>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</si>
  <si>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</si>
  <si>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</si>
  <si>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</si>
  <si>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</si>
  <si>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</si>
  <si>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</si>
  <si>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</si>
  <si>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</si>
  <si>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</si>
  <si>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</si>
  <si>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</si>
  <si>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</si>
  <si>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</si>
  <si>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</si>
  <si>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</si>
  <si>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</si>
  <si>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</si>
  <si>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</si>
  <si>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</si>
  <si>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</si>
  <si>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</si>
  <si>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</si>
  <si>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</si>
  <si>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</si>
  <si>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</si>
  <si>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</si>
  <si>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</si>
  <si>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</si>
  <si>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</si>
  <si>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</si>
  <si>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</si>
  <si>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</si>
  <si>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</si>
  <si>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</si>
  <si>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</si>
  <si>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</si>
  <si>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</si>
  <si>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</si>
  <si>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</si>
  <si>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</si>
  <si>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</si>
  <si>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</si>
  <si>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</si>
  <si>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</si>
  <si>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</si>
  <si>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</si>
  <si>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</si>
  <si>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</si>
  <si>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</si>
  <si>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</si>
  <si>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</si>
  <si>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</si>
  <si>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</si>
  <si>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</si>
  <si>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</si>
  <si>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</si>
  <si>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</si>
  <si>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</si>
  <si>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</si>
  <si>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</si>
  <si>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</si>
  <si>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</si>
  <si>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</si>
  <si>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</si>
  <si>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</si>
  <si>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</si>
  <si>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</si>
  <si>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</si>
  <si>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</si>
  <si>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</si>
  <si>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</si>
  <si>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</si>
  <si>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</si>
  <si>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</si>
  <si>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</si>
  <si>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</si>
  <si>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</si>
  <si>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</si>
  <si>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</si>
  <si>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</si>
  <si>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</si>
  <si>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</si>
  <si>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</si>
  <si>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</si>
  <si>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</si>
  <si>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02372576</t>
  </si>
  <si>
    <t>54045399638</t>
  </si>
  <si>
    <t>060207999</t>
  </si>
  <si>
    <t>REGIONALNI CENTAR ČISTOG OKOLIŠA d.o.o.</t>
  </si>
  <si>
    <t>Vukovarska 148/b</t>
  </si>
  <si>
    <t>info@rcco.hr</t>
  </si>
  <si>
    <t>www.rcco.hr</t>
  </si>
  <si>
    <t>021/682821</t>
  </si>
  <si>
    <t>Sandra Capan</t>
  </si>
  <si>
    <t>0911730000</t>
  </si>
  <si>
    <t>sandra.capan@rcco.hr</t>
  </si>
  <si>
    <t>Vlatka Lucijanić-Justić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</si>
</sst>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1117360.92</v>
      </c>
      <c r="I3" s="31">
        <f>ABS(ROUND(J3,0)-J3)+ABS(ROUND(K3,0)-K3)</f>
        <v>0</v>
      </c>
      <c r="J3" s="31">
        <f>Bilanca!I10</f>
        <v>18593974</v>
      </c>
      <c r="K3" s="31">
        <f>Bilanca!J10</f>
        <v>18637036</v>
      </c>
    </row>
    <row r="4" spans="1:11" ht="12.75">
      <c r="A4" s="4" t="s">
        <v>1088</v>
      </c>
      <c r="B4" s="29" t="s">
        <v>1888</v>
      </c>
      <c r="D4" s="4" t="s">
        <v>1521</v>
      </c>
      <c r="E4" s="4">
        <v>1</v>
      </c>
      <c r="F4" s="4">
        <f>Bilanca!G11</f>
        <v>3</v>
      </c>
      <c r="G4" s="4">
        <f>IF(Bilanca!H11=0,"",Bilanca!H11)</f>
      </c>
      <c r="H4" s="30">
        <f>J4/100*F4+2*K4/100*F4</f>
        <v>1249561.1400000001</v>
      </c>
      <c r="I4" s="31">
        <f>ABS(ROUND(J4,0)-J4)+ABS(ROUND(K4,0)-K4)</f>
        <v>0</v>
      </c>
      <c r="J4" s="31">
        <f>Bilanca!I11</f>
        <v>13897698</v>
      </c>
      <c r="K4" s="31">
        <f>Bilanca!J11</f>
        <v>13877170</v>
      </c>
    </row>
    <row r="5" spans="1:11" ht="12.75">
      <c r="A5" s="4" t="s">
        <v>2361</v>
      </c>
      <c r="B5" s="29">
        <f>IF(ISNUMBER(RefStr!C17),RefStr!C17,0)</f>
        <v>10</v>
      </c>
      <c r="D5" s="4" t="s">
        <v>1521</v>
      </c>
      <c r="E5" s="4">
        <v>1</v>
      </c>
      <c r="F5" s="4">
        <f>Bilanca!G12</f>
        <v>4</v>
      </c>
      <c r="G5" s="4">
        <f>IF(Bilanca!H12=0,"",Bilanca!H12)</f>
      </c>
      <c r="H5" s="30">
        <f>J5/100*F5+2*K5/100*F5</f>
        <v>189623.48</v>
      </c>
      <c r="I5" s="31">
        <f>ABS(ROUND(J5,0)-J5)+ABS(ROUND(K5,0)-K5)</f>
        <v>0</v>
      </c>
      <c r="J5" s="31">
        <f>Bilanca!I12</f>
        <v>4740587</v>
      </c>
      <c r="K5" s="31">
        <f>Bilanca!J12</f>
        <v>0</v>
      </c>
    </row>
    <row r="6" spans="1:11" ht="12.75">
      <c r="A6" s="4" t="s">
        <v>2352</v>
      </c>
      <c r="B6" s="29" t="str">
        <f>RefStr!H27</f>
        <v>02372576</v>
      </c>
      <c r="D6" s="4" t="s">
        <v>1521</v>
      </c>
      <c r="E6" s="4">
        <v>1</v>
      </c>
      <c r="F6" s="4">
        <f>Bilanca!G13</f>
        <v>5</v>
      </c>
      <c r="G6" s="4">
        <f>IF(Bilanca!H13=0,"",Bilanca!H13)</f>
      </c>
      <c r="H6" s="30">
        <f aca="true" t="shared" si="0" ref="H6:H45">J6/100*F6+2*K6/100*F6</f>
        <v>468829.45</v>
      </c>
      <c r="I6" s="31">
        <f aca="true" t="shared" si="1" ref="I6:I45">ABS(ROUND(J6,0)-J6)+ABS(ROUND(K6,0)-K6)</f>
        <v>0</v>
      </c>
      <c r="J6" s="31">
        <f>Bilanca!I13</f>
        <v>9151311</v>
      </c>
      <c r="K6" s="31">
        <f>Bilanca!J13</f>
        <v>112639</v>
      </c>
    </row>
    <row r="7" spans="1:11" ht="12.75">
      <c r="A7" s="4" t="s">
        <v>2353</v>
      </c>
      <c r="B7" s="29" t="str">
        <f>RefStr!M27</f>
        <v>060207999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54045399638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REGIONALNI CENTAR ČISTOG OKOLIŠA d.o.o.</v>
      </c>
      <c r="D9" s="4" t="s">
        <v>1521</v>
      </c>
      <c r="E9" s="4">
        <v>1</v>
      </c>
      <c r="F9" s="4">
        <f>Bilanca!G16</f>
        <v>8</v>
      </c>
      <c r="G9" s="4">
        <f>IF(Bilanca!H16=0,"",Bilanca!H16)</f>
      </c>
      <c r="H9" s="30">
        <f t="shared" si="0"/>
        <v>2202788.96</v>
      </c>
      <c r="I9" s="31">
        <f t="shared" si="1"/>
        <v>0</v>
      </c>
      <c r="J9" s="31">
        <f>Bilanca!I16</f>
        <v>5800</v>
      </c>
      <c r="K9" s="31">
        <f>Bilanca!J16</f>
        <v>13764531</v>
      </c>
    </row>
    <row r="10" spans="1:11" ht="12.75">
      <c r="A10" s="4" t="s">
        <v>2355</v>
      </c>
      <c r="B10" s="29" t="str">
        <f>TEXT(RefStr!C31,"00000")</f>
        <v>21000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Split</v>
      </c>
      <c r="D11" s="4" t="s">
        <v>1521</v>
      </c>
      <c r="E11" s="4">
        <v>1</v>
      </c>
      <c r="F11" s="4">
        <f>Bilanca!G18</f>
        <v>10</v>
      </c>
      <c r="G11" s="4">
        <f>IF(Bilanca!H18=0,"",Bilanca!H18)</f>
      </c>
      <c r="H11" s="30">
        <f t="shared" si="0"/>
        <v>1421600.8</v>
      </c>
      <c r="I11" s="31">
        <f t="shared" si="1"/>
        <v>0</v>
      </c>
      <c r="J11" s="31">
        <f>Bilanca!I18</f>
        <v>4696276</v>
      </c>
      <c r="K11" s="31">
        <f>Bilanca!J18</f>
        <v>4759866</v>
      </c>
    </row>
    <row r="12" spans="1:11" ht="12.75">
      <c r="A12" s="4" t="s">
        <v>2357</v>
      </c>
      <c r="B12" s="29" t="str">
        <f>TRIM(RefStr!C33)</f>
        <v>Vukovarska 148/b</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info@rcco.hr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www.rcco.hr</v>
      </c>
      <c r="D14" s="4" t="s">
        <v>1521</v>
      </c>
      <c r="E14" s="4">
        <v>1</v>
      </c>
      <c r="F14" s="4">
        <f>Bilanca!G21</f>
        <v>13</v>
      </c>
      <c r="G14" s="4">
        <f>IF(Bilanca!H21=0,"",Bilanca!H21)</f>
      </c>
      <c r="H14" s="30">
        <f t="shared" si="0"/>
        <v>4402.19</v>
      </c>
      <c r="I14" s="31">
        <f t="shared" si="1"/>
        <v>0</v>
      </c>
      <c r="J14" s="31">
        <f>Bilanca!I21</f>
        <v>4811</v>
      </c>
      <c r="K14" s="31">
        <f>Bilanca!J21</f>
        <v>14526</v>
      </c>
    </row>
    <row r="15" spans="1:11" ht="12.75">
      <c r="A15" s="4" t="s">
        <v>2360</v>
      </c>
      <c r="B15" s="29" t="str">
        <f>TEXT(RefStr!J39,"00")</f>
        <v>17</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409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3900</v>
      </c>
      <c r="D17" s="4" t="s">
        <v>1521</v>
      </c>
      <c r="E17" s="4">
        <v>1</v>
      </c>
      <c r="F17" s="4">
        <f>Bilanca!G24</f>
        <v>16</v>
      </c>
      <c r="G17" s="4">
        <f>IF(Bilanca!H24=0,"",Bilanca!H24)</f>
      </c>
      <c r="H17" s="30">
        <f t="shared" si="0"/>
        <v>2251903.2</v>
      </c>
      <c r="I17" s="31">
        <f t="shared" si="1"/>
        <v>0</v>
      </c>
      <c r="J17" s="31">
        <f>Bilanca!I24</f>
        <v>4691465</v>
      </c>
      <c r="K17" s="31">
        <f>Bilanca!J24</f>
        <v>4691465</v>
      </c>
    </row>
    <row r="18" spans="1:11" ht="12.75">
      <c r="A18" s="4" t="s">
        <v>1195</v>
      </c>
      <c r="B18" s="29" t="str">
        <f>IF(RefStr!C21&lt;&gt;"",RefStr!C21,"")</f>
        <v>NE</v>
      </c>
      <c r="D18" s="4" t="s">
        <v>1521</v>
      </c>
      <c r="E18" s="4">
        <v>1</v>
      </c>
      <c r="F18" s="4">
        <f>Bilanca!G25</f>
        <v>17</v>
      </c>
      <c r="G18" s="4">
        <f>IF(Bilanca!H25=0,"",Bilanca!H25)</f>
      </c>
      <c r="H18" s="30">
        <f t="shared" si="0"/>
        <v>18317.5</v>
      </c>
      <c r="I18" s="31">
        <f t="shared" si="1"/>
        <v>0</v>
      </c>
      <c r="J18" s="31">
        <f>Bilanca!I25</f>
        <v>0</v>
      </c>
      <c r="K18" s="31">
        <f>Bilanca!J25</f>
        <v>53875</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9</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9</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8621850.629999999</v>
      </c>
      <c r="I38" s="31">
        <f t="shared" si="1"/>
        <v>0</v>
      </c>
      <c r="J38" s="31">
        <f>Bilanca!I45</f>
        <v>7459625</v>
      </c>
      <c r="K38" s="31">
        <f>Bilanca!J45</f>
        <v>7921337</v>
      </c>
    </row>
    <row r="39" spans="1:11" ht="12.75">
      <c r="A39" s="4" t="s">
        <v>1216</v>
      </c>
      <c r="B39" s="29" t="str">
        <f>RefStr!C68</f>
        <v>Sandra Capan</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0911730000</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sandra.capan@rcco.hr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Vlatka Lucijanić-Justić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786572.8600000001</v>
      </c>
      <c r="I47" s="31">
        <f t="shared" si="3"/>
        <v>0</v>
      </c>
      <c r="J47" s="31">
        <f>Bilanca!I54</f>
        <v>506405</v>
      </c>
      <c r="K47" s="31">
        <f>Bilanca!J54</f>
        <v>601768</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226.87</v>
      </c>
      <c r="I50" s="31">
        <f t="shared" si="3"/>
        <v>0</v>
      </c>
      <c r="J50" s="31">
        <f>Bilanca!I57</f>
        <v>463</v>
      </c>
      <c r="K50" s="31">
        <f>Bilanca!J57</f>
        <v>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218648.22</v>
      </c>
      <c r="I52" s="31">
        <f t="shared" si="3"/>
        <v>0</v>
      </c>
      <c r="J52" s="31">
        <f>Bilanca!I59</f>
        <v>106480</v>
      </c>
      <c r="K52" s="31">
        <f>Bilanca!J59</f>
        <v>161121</v>
      </c>
    </row>
    <row r="53" spans="1:11" ht="12.75">
      <c r="A53" s="4" t="s">
        <v>532</v>
      </c>
      <c r="B53" s="29" t="str">
        <f>RefStr!I56</f>
        <v>DA</v>
      </c>
      <c r="D53" s="4" t="s">
        <v>1521</v>
      </c>
      <c r="E53" s="4">
        <v>1</v>
      </c>
      <c r="F53" s="4">
        <f>Bilanca!G60</f>
        <v>52</v>
      </c>
      <c r="G53" s="4">
        <f>IF(Bilanca!H60=0,"",Bilanca!H60)</f>
      </c>
      <c r="H53" s="30">
        <f t="shared" si="2"/>
        <v>665993.12</v>
      </c>
      <c r="I53" s="31">
        <f t="shared" si="3"/>
        <v>0</v>
      </c>
      <c r="J53" s="31">
        <f>Bilanca!I60</f>
        <v>399462</v>
      </c>
      <c r="K53" s="31">
        <f>Bilanca!J60</f>
        <v>440647</v>
      </c>
    </row>
    <row r="54" spans="1:11" ht="12.75">
      <c r="A54" s="4" t="s">
        <v>533</v>
      </c>
      <c r="B54" s="29" t="str">
        <f>RefStr!I62</f>
        <v>NE</v>
      </c>
      <c r="D54" s="4" t="s">
        <v>1521</v>
      </c>
      <c r="E54" s="4">
        <v>1</v>
      </c>
      <c r="F54" s="4">
        <f>Bilanca!G61</f>
        <v>53</v>
      </c>
      <c r="G54" s="4">
        <f>IF(Bilanca!H61=0,"",Bilanca!H61)</f>
      </c>
      <c r="H54" s="30">
        <f t="shared" si="2"/>
        <v>1590000</v>
      </c>
      <c r="I54" s="31">
        <f t="shared" si="3"/>
        <v>0</v>
      </c>
      <c r="J54" s="31">
        <f>Bilanca!I61</f>
        <v>1000000</v>
      </c>
      <c r="K54" s="31">
        <f>Bilanca!J61</f>
        <v>1000000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995238974.3800001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1830000</v>
      </c>
      <c r="I62" s="31">
        <f t="shared" si="3"/>
        <v>0</v>
      </c>
      <c r="J62" s="31">
        <f>Bilanca!I69</f>
        <v>1000000</v>
      </c>
      <c r="K62" s="31">
        <f>Bilanca!J69</f>
        <v>1000000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11713185.54</v>
      </c>
      <c r="I64" s="31">
        <f t="shared" si="3"/>
        <v>0</v>
      </c>
      <c r="J64" s="31">
        <f>Bilanca!I71</f>
        <v>5953220</v>
      </c>
      <c r="K64" s="31">
        <f>Bilanca!J71</f>
        <v>6319569</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51460724.25</v>
      </c>
      <c r="I66" s="31">
        <f t="shared" si="3"/>
        <v>0</v>
      </c>
      <c r="J66" s="31">
        <f>Bilanca!I73</f>
        <v>26053599</v>
      </c>
      <c r="K66" s="31">
        <f>Bilanca!J73</f>
        <v>26558373</v>
      </c>
    </row>
    <row r="67" spans="1:11" ht="12.75">
      <c r="A67" s="4" t="s">
        <v>689</v>
      </c>
      <c r="B67" s="29" t="str">
        <f>RefStr!L35</f>
        <v>021/682821</v>
      </c>
      <c r="D67" s="4" t="s">
        <v>1521</v>
      </c>
      <c r="E67" s="4">
        <v>1</v>
      </c>
      <c r="F67" s="4">
        <f>Bilanca!G74</f>
        <v>66</v>
      </c>
      <c r="G67" s="4">
        <f>IF(Bilanca!H74=0,"",Bilanca!H74)</f>
      </c>
      <c r="H67" s="30">
        <f t="shared" si="2"/>
        <v>20447426.34</v>
      </c>
      <c r="I67" s="31">
        <f t="shared" si="3"/>
        <v>0</v>
      </c>
      <c r="J67" s="31">
        <f>Bilanca!I74</f>
        <v>1626983</v>
      </c>
      <c r="K67" s="31">
        <f>Bilanca!J74</f>
        <v>14676983</v>
      </c>
    </row>
    <row r="68" spans="1:11" ht="12.75">
      <c r="A68" s="4" t="s">
        <v>690</v>
      </c>
      <c r="B68" s="29">
        <f>RefStr!C44</f>
        <v>1</v>
      </c>
      <c r="D68" s="4" t="s">
        <v>1521</v>
      </c>
      <c r="E68" s="4">
        <v>1</v>
      </c>
      <c r="F68" s="4">
        <f>Bilanca!G76</f>
        <v>67</v>
      </c>
      <c r="G68" s="4">
        <f>IF(Bilanca!H76=0,"",Bilanca!H76)</f>
      </c>
      <c r="H68" s="30">
        <f t="shared" si="2"/>
        <v>33045997.95</v>
      </c>
      <c r="I68" s="31">
        <f t="shared" si="3"/>
        <v>0</v>
      </c>
      <c r="J68" s="31">
        <f>Bilanca!I76</f>
        <v>9579889</v>
      </c>
      <c r="K68" s="31">
        <f>Bilanca!J76</f>
        <v>19871248</v>
      </c>
    </row>
    <row r="69" spans="1:11" ht="12.75">
      <c r="A69" s="4" t="s">
        <v>691</v>
      </c>
      <c r="B69" s="29">
        <f>RefStr!M46</f>
        <v>0</v>
      </c>
      <c r="D69" s="4" t="s">
        <v>1521</v>
      </c>
      <c r="E69" s="4">
        <v>1</v>
      </c>
      <c r="F69" s="4">
        <f>Bilanca!G77</f>
        <v>68</v>
      </c>
      <c r="G69" s="4">
        <f>IF(Bilanca!H77=0,"",Bilanca!H77)</f>
      </c>
      <c r="H69" s="30">
        <f t="shared" si="2"/>
        <v>48082800</v>
      </c>
      <c r="I69" s="31">
        <f t="shared" si="3"/>
        <v>0</v>
      </c>
      <c r="J69" s="31">
        <f>Bilanca!I77</f>
        <v>23570000</v>
      </c>
      <c r="K69" s="31">
        <f>Bilanca!J77</f>
        <v>23570000</v>
      </c>
    </row>
    <row r="70" spans="1:11" ht="12.75">
      <c r="A70" s="4" t="s">
        <v>692</v>
      </c>
      <c r="B70" s="29">
        <f>RefStr!C46</f>
        <v>0</v>
      </c>
      <c r="D70" s="4" t="s">
        <v>1521</v>
      </c>
      <c r="E70" s="4">
        <v>1</v>
      </c>
      <c r="F70" s="4">
        <f>Bilanca!G78</f>
        <v>69</v>
      </c>
      <c r="G70" s="4">
        <f>IF(Bilanca!H78=0,"",Bilanca!H78)</f>
      </c>
      <c r="H70" s="30">
        <f t="shared" si="2"/>
        <v>17956947.78</v>
      </c>
      <c r="I70" s="31">
        <f t="shared" si="3"/>
        <v>0</v>
      </c>
      <c r="J70" s="31">
        <f>Bilanca!I78</f>
        <v>0</v>
      </c>
      <c r="K70" s="31">
        <f>Bilanca!J78</f>
        <v>13012281</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-32498244.089999996</v>
      </c>
      <c r="I82" s="31">
        <f t="shared" si="3"/>
        <v>0</v>
      </c>
      <c r="J82" s="31">
        <f>Bilanca!I90</f>
        <v>-12141067</v>
      </c>
      <c r="K82" s="31">
        <f>Bilanca!J90</f>
        <v>-13990111</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33300669.869999997</v>
      </c>
      <c r="I84" s="31">
        <f t="shared" si="3"/>
        <v>0</v>
      </c>
      <c r="J84" s="31">
        <f>Bilanca!I92</f>
        <v>12141067</v>
      </c>
      <c r="K84" s="31">
        <f>Bilanca!J92</f>
        <v>13990111</v>
      </c>
    </row>
    <row r="85" spans="4:11" ht="12.75">
      <c r="D85" s="4" t="s">
        <v>1521</v>
      </c>
      <c r="E85" s="4">
        <v>1</v>
      </c>
      <c r="F85" s="4">
        <f>Bilanca!G93</f>
        <v>84</v>
      </c>
      <c r="G85" s="4">
        <f>IF(Bilanca!H93=0,"",Bilanca!H93)</f>
      </c>
      <c r="H85" s="30">
        <f>J85/100*F85+2*K85/100*F85</f>
        <v>-6124345.92</v>
      </c>
      <c r="I85" s="31">
        <f>ABS(ROUND(J85,0)-J85)+ABS(ROUND(K85,0)-K85)</f>
        <v>0</v>
      </c>
      <c r="J85" s="31">
        <f>Bilanca!I93</f>
        <v>-1849044</v>
      </c>
      <c r="K85" s="31">
        <f>Bilanca!J93</f>
        <v>-2720922</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6270163.68</v>
      </c>
      <c r="I87" s="31">
        <f aca="true" t="shared" si="5" ref="I87:I127">ABS(ROUND(J87,0)-J87)+ABS(ROUND(K87,0)-K87)</f>
        <v>0</v>
      </c>
      <c r="J87" s="31">
        <f>Bilanca!I95</f>
        <v>1849044</v>
      </c>
      <c r="K87" s="31">
        <f>Bilanca!J95</f>
        <v>2720922</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16598976.34</v>
      </c>
      <c r="I108" s="31">
        <f t="shared" si="5"/>
        <v>0</v>
      </c>
      <c r="J108" s="31">
        <f>Bilanca!I116</f>
        <v>11882644</v>
      </c>
      <c r="K108" s="31">
        <f>Bilanca!J116</f>
        <v>1815209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4652608.8</v>
      </c>
      <c r="I113" s="31">
        <f t="shared" si="5"/>
        <v>0</v>
      </c>
      <c r="J113" s="31">
        <f>Bilanca!I121</f>
        <v>1384705</v>
      </c>
      <c r="K113" s="31">
        <f>Bilanca!J121</f>
        <v>1384705</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1011755.05</v>
      </c>
      <c r="I116" s="31">
        <f t="shared" si="5"/>
        <v>0</v>
      </c>
      <c r="J116" s="31">
        <f>Bilanca!I124</f>
        <v>330085</v>
      </c>
      <c r="K116" s="31">
        <f>Bilanca!J124</f>
        <v>274851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302827.58999999997</v>
      </c>
      <c r="I118" s="31">
        <f t="shared" si="5"/>
        <v>0</v>
      </c>
      <c r="J118" s="31">
        <f>Bilanca!I126</f>
        <v>83879</v>
      </c>
      <c r="K118" s="31">
        <f>Bilanca!J126</f>
        <v>87474</v>
      </c>
    </row>
    <row r="119" spans="4:11" ht="12.75">
      <c r="D119" s="4" t="s">
        <v>1521</v>
      </c>
      <c r="E119" s="4">
        <v>1</v>
      </c>
      <c r="F119" s="4">
        <f>Bilanca!G127</f>
        <v>118</v>
      </c>
      <c r="G119" s="4">
        <f>IF(Bilanca!H127=0,"",Bilanca!H127)</f>
      </c>
      <c r="H119" s="30">
        <f t="shared" si="4"/>
        <v>238421.36000000002</v>
      </c>
      <c r="I119" s="31">
        <f t="shared" si="5"/>
        <v>0</v>
      </c>
      <c r="J119" s="31">
        <f>Bilanca!I127</f>
        <v>65694</v>
      </c>
      <c r="K119" s="31">
        <f>Bilanca!J127</f>
        <v>68179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12122120.01</v>
      </c>
      <c r="I122" s="31">
        <f t="shared" si="5"/>
        <v>0</v>
      </c>
      <c r="J122" s="31">
        <f>Bilanca!I130</f>
        <v>10018281</v>
      </c>
      <c r="K122" s="31">
        <f>Bilanca!J130</f>
        <v>0</v>
      </c>
    </row>
    <row r="123" spans="4:11" ht="12.75">
      <c r="D123" s="4" t="s">
        <v>1521</v>
      </c>
      <c r="E123" s="4">
        <v>1</v>
      </c>
      <c r="F123" s="4">
        <f>Bilanca!G131</f>
        <v>122</v>
      </c>
      <c r="G123" s="4">
        <f>IF(Bilanca!H131=0,"",Bilanca!H131)</f>
      </c>
      <c r="H123" s="30">
        <f t="shared" si="4"/>
        <v>17488575.560000002</v>
      </c>
      <c r="I123" s="31">
        <f t="shared" si="5"/>
        <v>0</v>
      </c>
      <c r="J123" s="31">
        <f>Bilanca!I131</f>
        <v>4591066</v>
      </c>
      <c r="K123" s="31">
        <f>Bilanca!J131</f>
        <v>4871916</v>
      </c>
    </row>
    <row r="124" spans="4:11" ht="12.75">
      <c r="D124" s="4" t="s">
        <v>1521</v>
      </c>
      <c r="E124" s="4">
        <v>1</v>
      </c>
      <c r="F124" s="4">
        <f>Bilanca!G132</f>
        <v>123</v>
      </c>
      <c r="G124" s="4">
        <f>IF(Bilanca!H132=0,"",Bilanca!H132)</f>
      </c>
      <c r="H124" s="30">
        <f t="shared" si="4"/>
        <v>97379524.35</v>
      </c>
      <c r="I124" s="31">
        <f t="shared" si="5"/>
        <v>0</v>
      </c>
      <c r="J124" s="31">
        <f>Bilanca!I132</f>
        <v>26053599</v>
      </c>
      <c r="K124" s="31">
        <f>Bilanca!J132</f>
        <v>26558373</v>
      </c>
    </row>
    <row r="125" spans="4:11" ht="12.75">
      <c r="D125" s="4" t="s">
        <v>1521</v>
      </c>
      <c r="E125" s="4">
        <v>1</v>
      </c>
      <c r="F125" s="4">
        <f>Bilanca!G133</f>
        <v>124</v>
      </c>
      <c r="G125" s="4">
        <f>IF(Bilanca!H133=0,"",Bilanca!H133)</f>
      </c>
      <c r="H125" s="30">
        <f t="shared" si="4"/>
        <v>38416376.76</v>
      </c>
      <c r="I125" s="31">
        <f t="shared" si="5"/>
        <v>0</v>
      </c>
      <c r="J125" s="31">
        <f>Bilanca!I133</f>
        <v>1626983</v>
      </c>
      <c r="K125" s="31">
        <f>Bilanca!J133</f>
        <v>14676983</v>
      </c>
    </row>
    <row r="126" spans="4:11" ht="12.75">
      <c r="D126" s="4" t="s">
        <v>541</v>
      </c>
      <c r="E126" s="4">
        <v>2</v>
      </c>
      <c r="F126" s="4">
        <f>RDG!G8</f>
        <v>125</v>
      </c>
      <c r="G126" s="4">
        <f>IF(RDG!H8=0,"",RDG!H8)</f>
      </c>
      <c r="H126" s="30">
        <f t="shared" si="4"/>
        <v>2177475</v>
      </c>
      <c r="I126" s="4">
        <f t="shared" si="5"/>
        <v>0</v>
      </c>
      <c r="J126" s="31">
        <f>RDG!I8</f>
        <v>540</v>
      </c>
      <c r="K126" s="31">
        <f>RDG!J8</f>
        <v>870720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1701.8000000000002</v>
      </c>
      <c r="I128" s="4">
        <f aca="true" t="shared" si="7" ref="I128:I190">ABS(ROUND(J128,0)-J128)+ABS(ROUND(K128,0)-K128)</f>
        <v>0</v>
      </c>
      <c r="J128" s="31">
        <f>RDG!I10</f>
        <v>540</v>
      </c>
      <c r="K128" s="31">
        <f>RDG!J10</f>
        <v>400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2262832</v>
      </c>
      <c r="I131" s="4">
        <f t="shared" si="7"/>
        <v>0</v>
      </c>
      <c r="J131" s="31">
        <f>RDG!I13</f>
        <v>0</v>
      </c>
      <c r="K131" s="31">
        <f>RDG!J13</f>
        <v>870320</v>
      </c>
    </row>
    <row r="132" spans="4:11" ht="12.75">
      <c r="D132" s="4" t="s">
        <v>541</v>
      </c>
      <c r="E132" s="4">
        <v>2</v>
      </c>
      <c r="F132" s="4">
        <f>RDG!G14</f>
        <v>131</v>
      </c>
      <c r="G132" s="4">
        <f>IF(RDG!H14=0,"",RDG!H14)</f>
      </c>
      <c r="H132" s="30">
        <f t="shared" si="6"/>
        <v>11995384.420000002</v>
      </c>
      <c r="I132" s="4">
        <f t="shared" si="7"/>
        <v>0</v>
      </c>
      <c r="J132" s="31">
        <f>RDG!I14</f>
        <v>1890522</v>
      </c>
      <c r="K132" s="31">
        <f>RDG!J14</f>
        <v>3633130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3539167.2399999998</v>
      </c>
      <c r="I134" s="4">
        <f t="shared" si="7"/>
        <v>0</v>
      </c>
      <c r="J134" s="31">
        <f>RDG!I16</f>
        <v>358412</v>
      </c>
      <c r="K134" s="31">
        <f>RDG!J16</f>
        <v>1151308</v>
      </c>
    </row>
    <row r="135" spans="4:11" ht="12.75">
      <c r="D135" s="4" t="s">
        <v>541</v>
      </c>
      <c r="E135" s="4">
        <v>2</v>
      </c>
      <c r="F135" s="4">
        <f>RDG!G17</f>
        <v>134</v>
      </c>
      <c r="G135" s="4">
        <f>IF(RDG!H17=0,"",RDG!H17)</f>
      </c>
      <c r="H135" s="30">
        <f t="shared" si="6"/>
        <v>154003.52000000002</v>
      </c>
      <c r="I135" s="4">
        <f t="shared" si="7"/>
        <v>0</v>
      </c>
      <c r="J135" s="31">
        <f>RDG!I17</f>
        <v>50168</v>
      </c>
      <c r="K135" s="31">
        <f>RDG!J17</f>
        <v>32380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3462696</v>
      </c>
      <c r="I137" s="4">
        <f t="shared" si="7"/>
        <v>0</v>
      </c>
      <c r="J137" s="31">
        <f>RDG!I19</f>
        <v>308244</v>
      </c>
      <c r="K137" s="31">
        <f>RDG!J19</f>
        <v>1118928</v>
      </c>
    </row>
    <row r="138" spans="4:11" ht="12.75">
      <c r="D138" s="4" t="s">
        <v>541</v>
      </c>
      <c r="E138" s="4">
        <v>2</v>
      </c>
      <c r="F138" s="4">
        <f>RDG!G20</f>
        <v>137</v>
      </c>
      <c r="G138" s="4">
        <f>IF(RDG!H20=0,"",RDG!H20)</f>
      </c>
      <c r="H138" s="30">
        <f t="shared" si="6"/>
        <v>5882634.779999999</v>
      </c>
      <c r="I138" s="4">
        <f t="shared" si="7"/>
        <v>0</v>
      </c>
      <c r="J138" s="31">
        <f>RDG!I20</f>
        <v>1285852</v>
      </c>
      <c r="K138" s="31">
        <f>RDG!J20</f>
        <v>1504021</v>
      </c>
    </row>
    <row r="139" spans="4:11" ht="12.75">
      <c r="D139" s="4" t="s">
        <v>541</v>
      </c>
      <c r="E139" s="4">
        <v>2</v>
      </c>
      <c r="F139" s="4">
        <f>RDG!G21</f>
        <v>138</v>
      </c>
      <c r="G139" s="4">
        <f>IF(RDG!H21=0,"",RDG!H21)</f>
      </c>
      <c r="H139" s="30">
        <f t="shared" si="6"/>
        <v>3404876.76</v>
      </c>
      <c r="I139" s="4">
        <f t="shared" si="7"/>
        <v>0</v>
      </c>
      <c r="J139" s="31">
        <f>RDG!I21</f>
        <v>743260</v>
      </c>
      <c r="K139" s="31">
        <f>RDG!J21</f>
        <v>862021</v>
      </c>
    </row>
    <row r="140" spans="4:11" ht="12.75">
      <c r="D140" s="4" t="s">
        <v>541</v>
      </c>
      <c r="E140" s="4">
        <v>2</v>
      </c>
      <c r="F140" s="4">
        <f>RDG!G22</f>
        <v>139</v>
      </c>
      <c r="G140" s="4">
        <f>IF(RDG!H22=0,"",RDG!H22)</f>
      </c>
      <c r="H140" s="30">
        <f t="shared" si="6"/>
        <v>1693046.4100000001</v>
      </c>
      <c r="I140" s="4">
        <f t="shared" si="7"/>
        <v>0</v>
      </c>
      <c r="J140" s="31">
        <f>RDG!I22</f>
        <v>360369</v>
      </c>
      <c r="K140" s="31">
        <f>RDG!J22</f>
        <v>428825</v>
      </c>
    </row>
    <row r="141" spans="4:11" ht="12.75">
      <c r="D141" s="4" t="s">
        <v>541</v>
      </c>
      <c r="E141" s="4">
        <v>2</v>
      </c>
      <c r="F141" s="4">
        <f>RDG!G23</f>
        <v>140</v>
      </c>
      <c r="G141" s="4">
        <f>IF(RDG!H23=0,"",RDG!H23)</f>
      </c>
      <c r="H141" s="30">
        <f t="shared" si="6"/>
        <v>852002.2</v>
      </c>
      <c r="I141" s="4">
        <f t="shared" si="7"/>
        <v>0</v>
      </c>
      <c r="J141" s="31">
        <f>RDG!I23</f>
        <v>182223</v>
      </c>
      <c r="K141" s="31">
        <f>RDG!J23</f>
        <v>213175</v>
      </c>
    </row>
    <row r="142" spans="4:11" ht="12.75">
      <c r="D142" s="4" t="s">
        <v>541</v>
      </c>
      <c r="E142" s="4">
        <v>2</v>
      </c>
      <c r="F142" s="4">
        <f>RDG!G24</f>
        <v>141</v>
      </c>
      <c r="G142" s="4">
        <f>IF(RDG!H24=0,"",RDG!H24)</f>
      </c>
      <c r="H142" s="30">
        <f t="shared" si="6"/>
        <v>335211.99</v>
      </c>
      <c r="I142" s="4">
        <f t="shared" si="7"/>
        <v>0</v>
      </c>
      <c r="J142" s="31">
        <f>RDG!I24</f>
        <v>33445</v>
      </c>
      <c r="K142" s="31">
        <f>RDG!J24</f>
        <v>102147</v>
      </c>
    </row>
    <row r="143" spans="4:11" ht="12.75">
      <c r="D143" s="4" t="s">
        <v>541</v>
      </c>
      <c r="E143" s="4">
        <v>2</v>
      </c>
      <c r="F143" s="4">
        <f>RDG!G25</f>
        <v>142</v>
      </c>
      <c r="G143" s="4">
        <f>IF(RDG!H25=0,"",RDG!H25)</f>
      </c>
      <c r="H143" s="30">
        <f t="shared" si="6"/>
        <v>2789051.8200000003</v>
      </c>
      <c r="I143" s="4">
        <f t="shared" si="7"/>
        <v>0</v>
      </c>
      <c r="J143" s="31">
        <f>RDG!I25</f>
        <v>212813</v>
      </c>
      <c r="K143" s="31">
        <f>RDG!J25</f>
        <v>875654</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190916.88</v>
      </c>
      <c r="I155" s="4">
        <f t="shared" si="7"/>
        <v>0</v>
      </c>
      <c r="J155" s="31">
        <f>RDG!I37</f>
        <v>40996</v>
      </c>
      <c r="K155" s="31">
        <f>RDG!J37</f>
        <v>41488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199594.91999999998</v>
      </c>
      <c r="I162" s="4">
        <f t="shared" si="7"/>
        <v>0</v>
      </c>
      <c r="J162" s="31">
        <f>RDG!I44</f>
        <v>40996</v>
      </c>
      <c r="K162" s="31">
        <f>RDG!J44</f>
        <v>41488</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95.69999999999999</v>
      </c>
      <c r="I166" s="4">
        <f t="shared" si="7"/>
        <v>0</v>
      </c>
      <c r="J166" s="31">
        <f>RDG!I48</f>
        <v>58</v>
      </c>
      <c r="K166" s="31">
        <f>RDG!J48</f>
        <v>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97.44</v>
      </c>
      <c r="I169" s="4">
        <f t="shared" si="7"/>
        <v>0</v>
      </c>
      <c r="J169" s="31">
        <f>RDG!I51</f>
        <v>58</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3302735.04</v>
      </c>
      <c r="I178" s="4">
        <f t="shared" si="7"/>
        <v>0</v>
      </c>
      <c r="J178" s="31">
        <f>RDG!I60</f>
        <v>41536</v>
      </c>
      <c r="K178" s="31">
        <f>RDG!J60</f>
        <v>912208</v>
      </c>
    </row>
    <row r="179" spans="4:11" ht="12.75">
      <c r="D179" s="4" t="s">
        <v>541</v>
      </c>
      <c r="E179" s="4">
        <v>2</v>
      </c>
      <c r="F179" s="4">
        <f>RDG!G61</f>
        <v>178</v>
      </c>
      <c r="G179" s="4">
        <f>IF(RDG!H61=0,"",RDG!H61)</f>
      </c>
      <c r="H179" s="30">
        <f t="shared" si="6"/>
        <v>16299175.200000001</v>
      </c>
      <c r="I179" s="4">
        <f t="shared" si="7"/>
        <v>0</v>
      </c>
      <c r="J179" s="31">
        <f>RDG!I61</f>
        <v>1890580</v>
      </c>
      <c r="K179" s="31">
        <f>RDG!J61</f>
        <v>3633130</v>
      </c>
    </row>
    <row r="180" spans="4:11" ht="12.75">
      <c r="D180" s="4" t="s">
        <v>541</v>
      </c>
      <c r="E180" s="4">
        <v>2</v>
      </c>
      <c r="F180" s="4">
        <f>RDG!G62</f>
        <v>179</v>
      </c>
      <c r="G180" s="4">
        <f>IF(RDG!H62=0,"",RDG!H62)</f>
      </c>
      <c r="H180" s="30">
        <f t="shared" si="6"/>
        <v>-13050689.52</v>
      </c>
      <c r="I180" s="4">
        <f t="shared" si="7"/>
        <v>0</v>
      </c>
      <c r="J180" s="31">
        <f>RDG!I62</f>
        <v>-1849044</v>
      </c>
      <c r="K180" s="31">
        <f>RDG!J62</f>
        <v>-2720922</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13196507.280000001</v>
      </c>
      <c r="I182" s="4">
        <f t="shared" si="7"/>
        <v>0</v>
      </c>
      <c r="J182" s="31">
        <f>RDG!I64</f>
        <v>1849044</v>
      </c>
      <c r="K182" s="31">
        <f>RDG!J64</f>
        <v>2720922</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-13342325.04</v>
      </c>
      <c r="I184" s="4">
        <f t="shared" si="7"/>
        <v>0</v>
      </c>
      <c r="J184" s="31">
        <f>RDG!I66</f>
        <v>-1849044</v>
      </c>
      <c r="K184" s="31">
        <f>RDG!J66</f>
        <v>-2720922</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13488142.8</v>
      </c>
      <c r="I186" s="4">
        <f t="shared" si="7"/>
        <v>0</v>
      </c>
      <c r="J186" s="31">
        <f>RDG!I68</f>
        <v>1849044</v>
      </c>
      <c r="K186" s="31">
        <f>RDG!J68</f>
        <v>2720922</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9" sqref="A9:J9"/>
      <selection pane="bottomLeft" activeCell="A9" sqref="A9:J9"/>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REGIONALNI CENTAR ČISTOG OKOLIŠA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21000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54045399638</v>
      </c>
      <c r="V4" s="211" t="s">
        <v>2356</v>
      </c>
      <c r="W4" s="232" t="str">
        <f>RefStr!F31</f>
        <v>Split</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02372576</v>
      </c>
      <c r="V5" s="211" t="s">
        <v>2357</v>
      </c>
      <c r="W5" s="232" t="str">
        <f>RefStr!C33</f>
        <v>Vukovarska 148/b</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060207999</v>
      </c>
      <c r="V6" s="211" t="s">
        <v>2568</v>
      </c>
      <c r="W6" s="232" t="str">
        <f>RefStr!L35</f>
        <v>021/682821</v>
      </c>
      <c r="X6" s="211" t="s">
        <v>2514</v>
      </c>
      <c r="Y6" s="232" t="str">
        <f>RefStr!C68</f>
        <v>Sandra Capan</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INFO@RCCO.HR</v>
      </c>
      <c r="X7" s="211" t="s">
        <v>2515</v>
      </c>
      <c r="Y7" s="232" t="str">
        <f>RefStr!C70</f>
        <v>0911730000</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3900</v>
      </c>
      <c r="X8" s="211" t="s">
        <v>2516</v>
      </c>
      <c r="Y8" s="232" t="str">
        <f>TRIM(UPPER(RefStr!C72))</f>
        <v>SANDRA.CAPAN@RCCO.HR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9</v>
      </c>
      <c r="Q9" s="231">
        <f>RefStr!F58</f>
        <v>9</v>
      </c>
      <c r="R9" s="211" t="s">
        <v>1860</v>
      </c>
      <c r="S9" s="232">
        <f>IF(RefStr!F4&lt;&gt;"",RefStr!F4,0)</f>
        <v>44196</v>
      </c>
      <c r="T9" s="211" t="s">
        <v>1821</v>
      </c>
      <c r="U9" s="232">
        <f>RefStr!C39</f>
        <v>409</v>
      </c>
      <c r="V9" s="211" t="s">
        <v>1414</v>
      </c>
      <c r="W9" s="232" t="str">
        <f>RefStr!D42</f>
        <v>Djelatnosti sanacije okoliša te ostale...</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9</v>
      </c>
      <c r="Q10" s="233">
        <f>RefStr!F56</f>
        <v>9</v>
      </c>
      <c r="R10" s="213" t="s">
        <v>1863</v>
      </c>
      <c r="S10" s="233">
        <f>RefStr!C23</f>
        <v>1</v>
      </c>
      <c r="T10" s="213" t="s">
        <v>2573</v>
      </c>
      <c r="U10" s="233" t="str">
        <f>RefStr!D39</f>
        <v>Split</v>
      </c>
      <c r="V10" s="240"/>
      <c r="W10" s="241"/>
      <c r="X10" s="242" t="s">
        <v>1974</v>
      </c>
      <c r="Y10" s="243">
        <f>RefStr!F12</f>
        <v>2020</v>
      </c>
      <c r="Z10" s="213" t="s">
        <v>209</v>
      </c>
      <c r="AA10" s="233" t="str">
        <f>RefStr!A75</f>
        <v>Vlatka Lucijanić-Justić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C:\Users\sandra.capan\Desktop\MY DOCUMENTS\GI - Godišnje izvješće i statistika\2020\GFI-POD 2020 Javna objava\[GFI-POD, Godišnji financijski izvještaj poduzetnika 2020 javna objava.xls]Naslovna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9.75"/>
    <row r="154" ht="9.7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9" sqref="A9:J9"/>
      <selection pane="bottomLeft" activeCell="A9" sqref="A9:J9"/>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7"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0" activePane="bottomLeft" state="frozen"/>
      <selection pane="topLeft" activeCell="A9" sqref="A9:J9"/>
      <selection pane="bottomLeft" activeCell="I64" sqref="I6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237257.6</v>
      </c>
    </row>
    <row r="13" spans="4:17" ht="9.75" customHeight="1">
      <c r="D13" s="156"/>
      <c r="E13" s="162"/>
      <c r="H13" s="27"/>
      <c r="I13" s="163"/>
      <c r="J13" s="163"/>
      <c r="K13" s="156"/>
      <c r="L13" s="156"/>
      <c r="M13" s="156"/>
      <c r="N13" s="156"/>
      <c r="P13" s="54" t="s">
        <v>2353</v>
      </c>
      <c r="Q13" s="55">
        <f>INT(VALUE(M27))/50</f>
        <v>1204159.98</v>
      </c>
    </row>
    <row r="14" spans="1:17" ht="15">
      <c r="A14" s="340" t="s">
        <v>2714</v>
      </c>
      <c r="B14" s="340"/>
      <c r="C14" s="340"/>
      <c r="D14" s="164"/>
      <c r="E14" s="165"/>
      <c r="F14" s="338"/>
      <c r="G14" s="339"/>
      <c r="H14" s="339"/>
      <c r="I14" s="156"/>
      <c r="J14" s="346" t="s">
        <v>2100</v>
      </c>
      <c r="K14" s="347"/>
      <c r="L14" s="347"/>
      <c r="M14" s="347"/>
      <c r="N14" s="347"/>
      <c r="P14" s="54" t="s">
        <v>2718</v>
      </c>
      <c r="Q14" s="55">
        <f>INT(VALUE(C27))/100</f>
        <v>540453996.38</v>
      </c>
    </row>
    <row r="15" spans="1:17" ht="19.5" customHeight="1">
      <c r="A15" s="343">
        <f>Skriveni!B59</f>
        <v>995238974.3800001</v>
      </c>
      <c r="B15" s="344"/>
      <c r="C15" s="345"/>
      <c r="D15" s="60"/>
      <c r="E15" s="60"/>
      <c r="F15" s="60"/>
      <c r="G15" s="60"/>
      <c r="H15" s="60"/>
      <c r="I15" s="60"/>
      <c r="J15" s="60"/>
      <c r="K15" s="60"/>
      <c r="L15" s="60"/>
      <c r="M15" s="60"/>
      <c r="N15" s="60"/>
      <c r="P15" s="54" t="s">
        <v>1817</v>
      </c>
      <c r="Q15" s="55">
        <f>LEN(Skriveni!B9)</f>
        <v>39</v>
      </c>
    </row>
    <row r="16" spans="4:17" ht="12.75" customHeight="1">
      <c r="D16" s="60"/>
      <c r="E16" s="60"/>
      <c r="F16" s="60"/>
      <c r="G16" s="60"/>
      <c r="H16" s="60"/>
      <c r="I16" s="60"/>
      <c r="P16" s="54" t="s">
        <v>1818</v>
      </c>
      <c r="Q16" s="55">
        <f>INT(VALUE(C31))/100</f>
        <v>210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16</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409</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3900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2954</v>
      </c>
      <c r="D27" s="378"/>
      <c r="E27" s="286"/>
      <c r="F27" s="290" t="s">
        <v>2406</v>
      </c>
      <c r="G27" s="322"/>
      <c r="H27" s="284" t="s">
        <v>2953</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21000</v>
      </c>
      <c r="D31" s="329" t="s">
        <v>693</v>
      </c>
      <c r="E31" s="330"/>
      <c r="F31" s="323" t="s">
        <v>2785</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2959</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409</v>
      </c>
      <c r="D39" s="326" t="str">
        <f>IF(C39="","Šifra grada/općine nije upisana",IF(ISNA(LOOKUP(C39,A177:A732,A177:A732)),"Šifra grada/općine ne postoji",IF(LOOKUP(C39,A177:A732,A177:A732)&lt;&gt;C39,"Šifra grada/općine ne postoji",LOOKUP(C39,A177:A732,B177:B732))))</f>
        <v>Split</v>
      </c>
      <c r="E39" s="327"/>
      <c r="F39" s="327"/>
      <c r="G39" s="327"/>
      <c r="H39" s="314" t="s">
        <v>2222</v>
      </c>
      <c r="I39" s="292"/>
      <c r="J39" s="58">
        <f>IF(C39&gt;0,LOOKUP(C39,A177:A732,C177:C732),"")</f>
        <v>17</v>
      </c>
      <c r="K39" s="315" t="str">
        <f>IF(J39="","Treba prvo upisati šifru grada/općine",LOOKUP(J39,A153:A173,B153:B173))</f>
        <v>SPLITSKO-DALMATINSKA</v>
      </c>
      <c r="L39" s="315"/>
      <c r="M39" s="315"/>
      <c r="N39" s="315"/>
      <c r="P39" s="54" t="s">
        <v>1826</v>
      </c>
      <c r="Q39" s="55">
        <f>C56+2*F56+3*C58+4*F58</f>
        <v>90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626</v>
      </c>
      <c r="D42" s="317" t="str">
        <f>IF(C42="","Šifra NKD-a nije upisana",IF(ISNA(LOOKUP(C42,A736:A1351,A736:A1351)),"Šifra NKD-a ne postoji",IF(LOOKUP(C42,A736:A1351,A736:A1351)&lt;&gt;C42,"Šifra NKD-a ne postoji",LOOKUP(C42,A736:A1351,B736:B1351))))</f>
        <v>Djelatnosti sanacije okoliša te ostale...</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23</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9</v>
      </c>
      <c r="D56" s="272" t="s">
        <v>2898</v>
      </c>
      <c r="E56" s="273"/>
      <c r="F56" s="44">
        <v>9</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9</v>
      </c>
      <c r="D58" s="309" t="s">
        <v>2898</v>
      </c>
      <c r="E58" s="309"/>
      <c r="F58" s="44">
        <v>9</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2961</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2962</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68" activePane="bottomLeft" state="frozen"/>
      <selection pane="topLeft" activeCell="A9" sqref="A9:J9"/>
      <selection pane="bottomLeft" activeCell="A9" sqref="A9:J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54045399638; REGIONALNI CENTAR ČISTOG OKOLIŠA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18593974</v>
      </c>
      <c r="J10" s="70">
        <f>J11+J18+J28+J39+J44</f>
        <v>18637036</v>
      </c>
    </row>
    <row r="11" spans="1:10" ht="13.5" customHeight="1">
      <c r="A11" s="382" t="s">
        <v>1850</v>
      </c>
      <c r="B11" s="382"/>
      <c r="C11" s="382"/>
      <c r="D11" s="382"/>
      <c r="E11" s="382"/>
      <c r="F11" s="382"/>
      <c r="G11" s="19">
        <v>3</v>
      </c>
      <c r="H11" s="20"/>
      <c r="I11" s="70">
        <f>SUM(I12:I17)</f>
        <v>13897698</v>
      </c>
      <c r="J11" s="70">
        <f>SUM(J12:J17)</f>
        <v>13877170</v>
      </c>
    </row>
    <row r="12" spans="1:10" ht="13.5" customHeight="1">
      <c r="A12" s="381" t="s">
        <v>965</v>
      </c>
      <c r="B12" s="381"/>
      <c r="C12" s="381"/>
      <c r="D12" s="381"/>
      <c r="E12" s="381"/>
      <c r="F12" s="381"/>
      <c r="G12" s="19">
        <v>4</v>
      </c>
      <c r="H12" s="20"/>
      <c r="I12" s="71">
        <v>4740587</v>
      </c>
      <c r="J12" s="71">
        <v>0</v>
      </c>
    </row>
    <row r="13" spans="1:10" ht="24.75" customHeight="1">
      <c r="A13" s="381" t="s">
        <v>1810</v>
      </c>
      <c r="B13" s="381"/>
      <c r="C13" s="381"/>
      <c r="D13" s="381"/>
      <c r="E13" s="381"/>
      <c r="F13" s="381"/>
      <c r="G13" s="19">
        <v>5</v>
      </c>
      <c r="H13" s="20"/>
      <c r="I13" s="71">
        <v>9151311</v>
      </c>
      <c r="J13" s="71">
        <f>414036-301397</f>
        <v>112639</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v>5800</v>
      </c>
      <c r="J16" s="71">
        <v>13764531</v>
      </c>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4696276</v>
      </c>
      <c r="J18" s="70">
        <f>SUM(J19:J27)</f>
        <v>4759866</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v>4811</v>
      </c>
      <c r="J21" s="71">
        <f>195120+125065-305659</f>
        <v>14526</v>
      </c>
    </row>
    <row r="22" spans="1:10" ht="13.5" customHeight="1">
      <c r="A22" s="381" t="s">
        <v>2290</v>
      </c>
      <c r="B22" s="381"/>
      <c r="C22" s="381"/>
      <c r="D22" s="381"/>
      <c r="E22" s="381"/>
      <c r="F22" s="381"/>
      <c r="G22" s="19">
        <v>14</v>
      </c>
      <c r="H22" s="20"/>
      <c r="I22" s="71"/>
      <c r="J22" s="71"/>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v>4691465</v>
      </c>
      <c r="J24" s="71">
        <v>4691465</v>
      </c>
    </row>
    <row r="25" spans="1:10" ht="13.5" customHeight="1">
      <c r="A25" s="381" t="s">
        <v>1083</v>
      </c>
      <c r="B25" s="381"/>
      <c r="C25" s="381"/>
      <c r="D25" s="381"/>
      <c r="E25" s="381"/>
      <c r="F25" s="381"/>
      <c r="G25" s="19">
        <v>17</v>
      </c>
      <c r="H25" s="20"/>
      <c r="I25" s="71"/>
      <c r="J25" s="71">
        <v>53875</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7459625</v>
      </c>
      <c r="J45" s="70">
        <f>J46+J54+J61+J71</f>
        <v>7921337</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506405</v>
      </c>
      <c r="J54" s="70">
        <f>SUM(J55:J60)</f>
        <v>601768</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463</v>
      </c>
      <c r="J57" s="71">
        <v>0</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106480</v>
      </c>
      <c r="J59" s="71">
        <f>37094+93116+30911</f>
        <v>161121</v>
      </c>
    </row>
    <row r="60" spans="1:10" ht="13.5" customHeight="1">
      <c r="A60" s="381" t="s">
        <v>2638</v>
      </c>
      <c r="B60" s="381"/>
      <c r="C60" s="381"/>
      <c r="D60" s="381"/>
      <c r="E60" s="381"/>
      <c r="F60" s="381"/>
      <c r="G60" s="19">
        <v>52</v>
      </c>
      <c r="H60" s="20"/>
      <c r="I60" s="71">
        <v>399462</v>
      </c>
      <c r="J60" s="71">
        <f>437841+2806</f>
        <v>440647</v>
      </c>
    </row>
    <row r="61" spans="1:10" ht="13.5" customHeight="1">
      <c r="A61" s="382" t="s">
        <v>2649</v>
      </c>
      <c r="B61" s="382"/>
      <c r="C61" s="382"/>
      <c r="D61" s="382"/>
      <c r="E61" s="382"/>
      <c r="F61" s="382"/>
      <c r="G61" s="19">
        <v>53</v>
      </c>
      <c r="H61" s="20"/>
      <c r="I61" s="70">
        <f>SUM(I62:I70)</f>
        <v>1000000</v>
      </c>
      <c r="J61" s="70">
        <f>SUM(J62:J70)</f>
        <v>1000000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v>1000000</v>
      </c>
      <c r="J69" s="71">
        <v>1000000</v>
      </c>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5953220</v>
      </c>
      <c r="J71" s="71">
        <f>6319079+490</f>
        <v>6319569</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26053599</v>
      </c>
      <c r="J73" s="70">
        <f>J9+J10+J45+J72</f>
        <v>26558373</v>
      </c>
    </row>
    <row r="74" spans="1:10" ht="13.5" customHeight="1">
      <c r="A74" s="384" t="s">
        <v>257</v>
      </c>
      <c r="B74" s="384"/>
      <c r="C74" s="384"/>
      <c r="D74" s="384"/>
      <c r="E74" s="384"/>
      <c r="F74" s="384"/>
      <c r="G74" s="21">
        <v>66</v>
      </c>
      <c r="H74" s="22"/>
      <c r="I74" s="72">
        <v>1626983</v>
      </c>
      <c r="J74" s="72">
        <v>14676983</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9579889</v>
      </c>
      <c r="J76" s="70">
        <f>J77+J78+J79+J85+J86+J90+J93+J96</f>
        <v>19871248</v>
      </c>
      <c r="L76" s="2" t="s">
        <v>2591</v>
      </c>
    </row>
    <row r="77" spans="1:10" ht="13.5" customHeight="1">
      <c r="A77" s="382" t="s">
        <v>935</v>
      </c>
      <c r="B77" s="382"/>
      <c r="C77" s="382"/>
      <c r="D77" s="382"/>
      <c r="E77" s="382"/>
      <c r="F77" s="382"/>
      <c r="G77" s="19">
        <v>68</v>
      </c>
      <c r="H77" s="20"/>
      <c r="I77" s="71">
        <v>23570000</v>
      </c>
      <c r="J77" s="71">
        <v>23570000</v>
      </c>
    </row>
    <row r="78" spans="1:12" ht="13.5" customHeight="1">
      <c r="A78" s="382" t="s">
        <v>936</v>
      </c>
      <c r="B78" s="382"/>
      <c r="C78" s="382"/>
      <c r="D78" s="382"/>
      <c r="E78" s="382"/>
      <c r="F78" s="382"/>
      <c r="G78" s="19">
        <v>69</v>
      </c>
      <c r="H78" s="20"/>
      <c r="I78" s="71"/>
      <c r="J78" s="71">
        <v>13012281</v>
      </c>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-12141067</v>
      </c>
      <c r="J90" s="70">
        <f>J91-J92</f>
        <v>-13990111</v>
      </c>
      <c r="L90" s="2" t="s">
        <v>2591</v>
      </c>
    </row>
    <row r="91" spans="1:10" ht="13.5" customHeight="1">
      <c r="A91" s="381" t="s">
        <v>1139</v>
      </c>
      <c r="B91" s="381"/>
      <c r="C91" s="381"/>
      <c r="D91" s="381"/>
      <c r="E91" s="381"/>
      <c r="F91" s="381"/>
      <c r="G91" s="19">
        <v>82</v>
      </c>
      <c r="H91" s="20"/>
      <c r="I91" s="71"/>
      <c r="J91" s="71"/>
    </row>
    <row r="92" spans="1:10" ht="13.5" customHeight="1">
      <c r="A92" s="381" t="s">
        <v>1140</v>
      </c>
      <c r="B92" s="381"/>
      <c r="C92" s="381"/>
      <c r="D92" s="381"/>
      <c r="E92" s="381"/>
      <c r="F92" s="381"/>
      <c r="G92" s="19">
        <v>83</v>
      </c>
      <c r="H92" s="20"/>
      <c r="I92" s="71">
        <v>12141067</v>
      </c>
      <c r="J92" s="71">
        <v>13990111</v>
      </c>
    </row>
    <row r="93" spans="1:12" ht="13.5" customHeight="1">
      <c r="A93" s="382" t="s">
        <v>2653</v>
      </c>
      <c r="B93" s="382"/>
      <c r="C93" s="382"/>
      <c r="D93" s="382"/>
      <c r="E93" s="382"/>
      <c r="F93" s="382"/>
      <c r="G93" s="19">
        <v>84</v>
      </c>
      <c r="H93" s="20"/>
      <c r="I93" s="70">
        <f>I94-I95</f>
        <v>-1849044</v>
      </c>
      <c r="J93" s="70">
        <f>J94-J95</f>
        <v>-2720922</v>
      </c>
      <c r="L93" s="2" t="s">
        <v>2591</v>
      </c>
    </row>
    <row r="94" spans="1:10" ht="13.5" customHeight="1">
      <c r="A94" s="381" t="s">
        <v>2640</v>
      </c>
      <c r="B94" s="381"/>
      <c r="C94" s="381"/>
      <c r="D94" s="381"/>
      <c r="E94" s="381"/>
      <c r="F94" s="381"/>
      <c r="G94" s="19">
        <v>85</v>
      </c>
      <c r="H94" s="20"/>
      <c r="I94" s="71"/>
      <c r="J94" s="71"/>
    </row>
    <row r="95" spans="1:10" ht="13.5" customHeight="1">
      <c r="A95" s="381" t="s">
        <v>1141</v>
      </c>
      <c r="B95" s="381"/>
      <c r="C95" s="381"/>
      <c r="D95" s="381"/>
      <c r="E95" s="381"/>
      <c r="F95" s="381"/>
      <c r="G95" s="19">
        <v>86</v>
      </c>
      <c r="H95" s="20"/>
      <c r="I95" s="71">
        <v>1849044</v>
      </c>
      <c r="J95" s="71">
        <v>2720922</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11882644</v>
      </c>
      <c r="J116" s="70">
        <f>SUM(J117:J130)</f>
        <v>1815209</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v>1384705</v>
      </c>
      <c r="J121" s="71">
        <v>1384705</v>
      </c>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330085</v>
      </c>
      <c r="J124" s="71">
        <f>264352+10500-1</f>
        <v>274851</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83879</v>
      </c>
      <c r="J126" s="71">
        <f>86107+1367</f>
        <v>87474</v>
      </c>
    </row>
    <row r="127" spans="1:10" ht="13.5" customHeight="1">
      <c r="A127" s="381" t="s">
        <v>364</v>
      </c>
      <c r="B127" s="381"/>
      <c r="C127" s="381"/>
      <c r="D127" s="381"/>
      <c r="E127" s="381"/>
      <c r="F127" s="381"/>
      <c r="G127" s="19">
        <v>118</v>
      </c>
      <c r="H127" s="20"/>
      <c r="I127" s="71">
        <v>65694</v>
      </c>
      <c r="J127" s="71">
        <f>63179+5000</f>
        <v>68179</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10018281</v>
      </c>
      <c r="J130" s="71"/>
    </row>
    <row r="131" spans="1:10" ht="24.75" customHeight="1">
      <c r="A131" s="383" t="s">
        <v>1560</v>
      </c>
      <c r="B131" s="383"/>
      <c r="C131" s="383"/>
      <c r="D131" s="383"/>
      <c r="E131" s="383"/>
      <c r="F131" s="383"/>
      <c r="G131" s="19">
        <v>122</v>
      </c>
      <c r="H131" s="20"/>
      <c r="I131" s="71">
        <v>4591066</v>
      </c>
      <c r="J131" s="71">
        <v>4871916</v>
      </c>
    </row>
    <row r="132" spans="1:10" ht="13.5" customHeight="1">
      <c r="A132" s="383" t="s">
        <v>2657</v>
      </c>
      <c r="B132" s="383"/>
      <c r="C132" s="383"/>
      <c r="D132" s="383"/>
      <c r="E132" s="383"/>
      <c r="F132" s="383"/>
      <c r="G132" s="19">
        <v>123</v>
      </c>
      <c r="H132" s="20"/>
      <c r="I132" s="70">
        <f>I76+I97+I104+I116+I131</f>
        <v>26053599</v>
      </c>
      <c r="J132" s="70">
        <f>J76+J97+J104+J116+J131</f>
        <v>26558373</v>
      </c>
    </row>
    <row r="133" spans="1:10" ht="13.5" customHeight="1">
      <c r="A133" s="384" t="s">
        <v>662</v>
      </c>
      <c r="B133" s="384"/>
      <c r="C133" s="384"/>
      <c r="D133" s="384"/>
      <c r="E133" s="384"/>
      <c r="F133" s="384"/>
      <c r="G133" s="21">
        <v>124</v>
      </c>
      <c r="H133" s="22"/>
      <c r="I133" s="72">
        <v>1626983</v>
      </c>
      <c r="J133" s="72">
        <v>14676983</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4:J95 I91:J92 I9:J74 I77:J77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89" activePane="bottomLeft" state="frozen"/>
      <selection pane="topLeft" activeCell="A9" sqref="A9:J9"/>
      <selection pane="bottomLeft" activeCell="A9" sqref="A9:J9"/>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54045399638; REGIONALNI CENTAR ČISTOG OKOLIŠA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540</v>
      </c>
      <c r="J8" s="84">
        <f>SUM(J9:J13)</f>
        <v>870720</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540</v>
      </c>
      <c r="J10" s="71">
        <v>400</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f>1200+656572+212548</f>
        <v>870320</v>
      </c>
    </row>
    <row r="14" spans="1:10" s="2" customFormat="1" ht="13.5" customHeight="1">
      <c r="A14" s="383" t="s">
        <v>1837</v>
      </c>
      <c r="B14" s="383"/>
      <c r="C14" s="383"/>
      <c r="D14" s="383"/>
      <c r="E14" s="383"/>
      <c r="F14" s="383"/>
      <c r="G14" s="19">
        <v>131</v>
      </c>
      <c r="H14" s="20"/>
      <c r="I14" s="70">
        <f>I15+I16+I20+I24+I25+I26+I29+I36</f>
        <v>1890522</v>
      </c>
      <c r="J14" s="70">
        <f>J15+J16+J20+J24+J25+J26+J29+J36</f>
        <v>3633130</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358412</v>
      </c>
      <c r="J16" s="70">
        <f>SUM(J17:J19)</f>
        <v>1151308</v>
      </c>
    </row>
    <row r="17" spans="1:10" s="2" customFormat="1" ht="13.5" customHeight="1">
      <c r="A17" s="410" t="s">
        <v>504</v>
      </c>
      <c r="B17" s="410"/>
      <c r="C17" s="410"/>
      <c r="D17" s="410"/>
      <c r="E17" s="410"/>
      <c r="F17" s="410"/>
      <c r="G17" s="19">
        <v>134</v>
      </c>
      <c r="H17" s="20"/>
      <c r="I17" s="71">
        <v>50168</v>
      </c>
      <c r="J17" s="71">
        <v>32380</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308244</v>
      </c>
      <c r="J19" s="71">
        <v>1118928</v>
      </c>
    </row>
    <row r="20" spans="1:10" s="2" customFormat="1" ht="13.5" customHeight="1">
      <c r="A20" s="381" t="s">
        <v>1839</v>
      </c>
      <c r="B20" s="381"/>
      <c r="C20" s="381"/>
      <c r="D20" s="381"/>
      <c r="E20" s="381"/>
      <c r="F20" s="381"/>
      <c r="G20" s="19">
        <v>137</v>
      </c>
      <c r="H20" s="20"/>
      <c r="I20" s="70">
        <f>SUM(I21:I23)</f>
        <v>1285852</v>
      </c>
      <c r="J20" s="70">
        <f>SUM(J21:J23)</f>
        <v>1504021</v>
      </c>
    </row>
    <row r="21" spans="1:10" s="2" customFormat="1" ht="13.5" customHeight="1">
      <c r="A21" s="410" t="s">
        <v>724</v>
      </c>
      <c r="B21" s="410"/>
      <c r="C21" s="410"/>
      <c r="D21" s="410"/>
      <c r="E21" s="410"/>
      <c r="F21" s="410"/>
      <c r="G21" s="19">
        <v>138</v>
      </c>
      <c r="H21" s="20"/>
      <c r="I21" s="71">
        <v>743260</v>
      </c>
      <c r="J21" s="71">
        <v>862021</v>
      </c>
    </row>
    <row r="22" spans="1:10" s="2" customFormat="1" ht="13.5" customHeight="1">
      <c r="A22" s="410" t="s">
        <v>961</v>
      </c>
      <c r="B22" s="410"/>
      <c r="C22" s="410"/>
      <c r="D22" s="410"/>
      <c r="E22" s="410"/>
      <c r="F22" s="410"/>
      <c r="G22" s="19">
        <v>139</v>
      </c>
      <c r="H22" s="20"/>
      <c r="I22" s="71">
        <v>360369</v>
      </c>
      <c r="J22" s="71">
        <f>258394+170431</f>
        <v>428825</v>
      </c>
    </row>
    <row r="23" spans="1:10" s="2" customFormat="1" ht="13.5" customHeight="1">
      <c r="A23" s="410" t="s">
        <v>962</v>
      </c>
      <c r="B23" s="410"/>
      <c r="C23" s="410"/>
      <c r="D23" s="410"/>
      <c r="E23" s="410"/>
      <c r="F23" s="410"/>
      <c r="G23" s="19">
        <v>140</v>
      </c>
      <c r="H23" s="20"/>
      <c r="I23" s="71">
        <v>182223</v>
      </c>
      <c r="J23" s="71">
        <v>213175</v>
      </c>
    </row>
    <row r="24" spans="1:10" s="2" customFormat="1" ht="13.5" customHeight="1">
      <c r="A24" s="381" t="s">
        <v>259</v>
      </c>
      <c r="B24" s="381"/>
      <c r="C24" s="381"/>
      <c r="D24" s="381"/>
      <c r="E24" s="381"/>
      <c r="F24" s="381"/>
      <c r="G24" s="19">
        <v>141</v>
      </c>
      <c r="H24" s="20"/>
      <c r="I24" s="71">
        <v>33445</v>
      </c>
      <c r="J24" s="71">
        <v>102147</v>
      </c>
    </row>
    <row r="25" spans="1:10" s="2" customFormat="1" ht="13.5" customHeight="1">
      <c r="A25" s="381" t="s">
        <v>260</v>
      </c>
      <c r="B25" s="381"/>
      <c r="C25" s="381"/>
      <c r="D25" s="381"/>
      <c r="E25" s="381"/>
      <c r="F25" s="381"/>
      <c r="G25" s="19">
        <v>142</v>
      </c>
      <c r="H25" s="20"/>
      <c r="I25" s="71">
        <v>212813</v>
      </c>
      <c r="J25" s="71">
        <f>133429+5000+737225</f>
        <v>875654</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40996</v>
      </c>
      <c r="J37" s="70">
        <f>SUM(J38:J47)</f>
        <v>41488</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40996</v>
      </c>
      <c r="J44" s="71">
        <v>41488</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58</v>
      </c>
      <c r="J48" s="70">
        <f>SUM(J49:J55)</f>
        <v>0</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58</v>
      </c>
      <c r="J51" s="71"/>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41536</v>
      </c>
      <c r="J60" s="70">
        <f>J8+J37+J56+J57</f>
        <v>912208</v>
      </c>
    </row>
    <row r="61" spans="1:10" s="2" customFormat="1" ht="13.5" customHeight="1">
      <c r="A61" s="383" t="s">
        <v>1845</v>
      </c>
      <c r="B61" s="383"/>
      <c r="C61" s="383"/>
      <c r="D61" s="383"/>
      <c r="E61" s="383"/>
      <c r="F61" s="383"/>
      <c r="G61" s="19">
        <v>178</v>
      </c>
      <c r="H61" s="20"/>
      <c r="I61" s="70">
        <f>I14+I48+I58+I59</f>
        <v>1890580</v>
      </c>
      <c r="J61" s="70">
        <f>J14+J48+J58+J59</f>
        <v>3633130</v>
      </c>
    </row>
    <row r="62" spans="1:12" s="2" customFormat="1" ht="13.5" customHeight="1">
      <c r="A62" s="383" t="s">
        <v>2581</v>
      </c>
      <c r="B62" s="383"/>
      <c r="C62" s="383"/>
      <c r="D62" s="383"/>
      <c r="E62" s="383"/>
      <c r="F62" s="383"/>
      <c r="G62" s="19">
        <v>179</v>
      </c>
      <c r="H62" s="20"/>
      <c r="I62" s="70">
        <f>I60-I61</f>
        <v>-1849044</v>
      </c>
      <c r="J62" s="70">
        <f>J60-J61</f>
        <v>-2720922</v>
      </c>
      <c r="L62" s="2" t="s">
        <v>2591</v>
      </c>
    </row>
    <row r="63" spans="1:10" s="2" customFormat="1" ht="13.5" customHeight="1">
      <c r="A63" s="404" t="s">
        <v>2658</v>
      </c>
      <c r="B63" s="404"/>
      <c r="C63" s="404"/>
      <c r="D63" s="404"/>
      <c r="E63" s="404"/>
      <c r="F63" s="404"/>
      <c r="G63" s="19">
        <v>180</v>
      </c>
      <c r="H63" s="20"/>
      <c r="I63" s="70">
        <f>IF(I60&gt;I61,I60-I61,0)</f>
        <v>0</v>
      </c>
      <c r="J63" s="70">
        <f>IF(J60&gt;J61,J60-J61,0)</f>
        <v>0</v>
      </c>
    </row>
    <row r="64" spans="1:10" s="2" customFormat="1" ht="13.5" customHeight="1">
      <c r="A64" s="404" t="s">
        <v>778</v>
      </c>
      <c r="B64" s="404"/>
      <c r="C64" s="404"/>
      <c r="D64" s="404"/>
      <c r="E64" s="404"/>
      <c r="F64" s="404"/>
      <c r="G64" s="19">
        <v>181</v>
      </c>
      <c r="H64" s="20"/>
      <c r="I64" s="70">
        <f>IF(I61&gt;I60,I61-I60,0)</f>
        <v>1849044</v>
      </c>
      <c r="J64" s="70">
        <f>IF(J61&gt;J60,J61-J60,0)</f>
        <v>2720922</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-1849044</v>
      </c>
      <c r="J66" s="70">
        <f>J62-J65</f>
        <v>-2720922</v>
      </c>
      <c r="L66" s="2" t="s">
        <v>2591</v>
      </c>
    </row>
    <row r="67" spans="1:10" s="2" customFormat="1" ht="13.5" customHeight="1">
      <c r="A67" s="404" t="s">
        <v>779</v>
      </c>
      <c r="B67" s="404"/>
      <c r="C67" s="404"/>
      <c r="D67" s="404"/>
      <c r="E67" s="404"/>
      <c r="F67" s="404"/>
      <c r="G67" s="19">
        <v>184</v>
      </c>
      <c r="H67" s="20"/>
      <c r="I67" s="70">
        <f>IF(I66&gt;0,I66,0)</f>
        <v>0</v>
      </c>
      <c r="J67" s="70">
        <f>IF(J66&gt;0,J66,0)</f>
        <v>0</v>
      </c>
    </row>
    <row r="68" spans="1:10" s="2" customFormat="1" ht="13.5" customHeight="1">
      <c r="A68" s="421" t="s">
        <v>1472</v>
      </c>
      <c r="B68" s="421"/>
      <c r="C68" s="421"/>
      <c r="D68" s="421"/>
      <c r="E68" s="421"/>
      <c r="F68" s="421"/>
      <c r="G68" s="21">
        <v>185</v>
      </c>
      <c r="H68" s="22"/>
      <c r="I68" s="85">
        <f>IF(I66&lt;0,-I66,0)</f>
        <v>1849044</v>
      </c>
      <c r="J68" s="85">
        <f>IF(J66&lt;0,-J66,0)</f>
        <v>2720922</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B9" sqref="B9:J9"/>
      <selection pane="bottomLeft" activeCell="A9" sqref="A9:J9"/>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54045399638; REGIONALNI CENTAR ČISTOG OKOLIŠA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1.25">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35" activePane="bottomLeft" state="frozen"/>
      <selection pane="topLeft" activeCell="B9" sqref="B9:J9"/>
      <selection pane="bottomLeft" activeCell="B9" sqref="B9:J9"/>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54045399638; REGIONALNI CENTAR ČISTOG OKOLIŠA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32" activePane="bottomLeft" state="frozen"/>
      <selection pane="topLeft" activeCell="B9" sqref="B9:J9"/>
      <selection pane="bottomLeft" activeCell="B9" sqref="B9:J9"/>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54045399638; REGIONALNI CENTAR ČISTOG OKOLIŠA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B9" sqref="B9:J9"/>
      <selection pane="bottomLeft" activeCell="B9" sqref="B9:J9"/>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54045399638; REGIONALNI CENTAR ČISTOG OKOLIŠA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1"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Sandra</cp:lastModifiedBy>
  <cp:lastPrinted>2021-07-06T12:33:12Z</cp:lastPrinted>
  <dcterms:created xsi:type="dcterms:W3CDTF">2008-10-17T11:51:54Z</dcterms:created>
  <dcterms:modified xsi:type="dcterms:W3CDTF">2021-08-23T13:02:44Z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